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Y:\00-60 保険税 (年度管理）\00-07 広報・本算定挿入パンフ・HP\R8\ホームページ\保険税の税率・計算方法について\HP掲載用\"/>
    </mc:Choice>
  </mc:AlternateContent>
  <xr:revisionPtr revIDLastSave="0" documentId="13_ncr:1_{12B43472-78F0-4AE7-86BE-2E47548746E9}" xr6:coauthVersionLast="47" xr6:coauthVersionMax="47" xr10:uidLastSave="{00000000-0000-0000-0000-000000000000}"/>
  <workbookProtection workbookAlgorithmName="SHA-512" workbookHashValue="rnfilerxXVNaq18tF6Ngy1y4tJfKLRTZscASNFj1cIzhlmIxAMqkUrVU75qCS1Y1vKg073xcmjL5QLhNeDbi2Q==" workbookSaltValue="doilUuVZs/vTP1hH+aOiIw==" workbookSpinCount="100000" lockStructure="1"/>
  <bookViews>
    <workbookView xWindow="-108" yWindow="-108" windowWidth="23256" windowHeight="12456" tabRatio="684" xr2:uid="{00000000-000D-0000-FFFF-FFFF00000000}"/>
  </bookViews>
  <sheets>
    <sheet name="HP入力フォーム" sheetId="10" r:id="rId1"/>
    <sheet name="入力画面" sheetId="8" state="veryHidden" r:id="rId2"/>
    <sheet name="基礎計算" sheetId="9" state="veryHidden" r:id="rId3"/>
    <sheet name="試算一覧表" sheetId="7" state="veryHidden" r:id="rId4"/>
    <sheet name="区分リスト" sheetId="4" state="veryHidden" r:id="rId5"/>
  </sheets>
  <definedNames>
    <definedName name="_xlnm.Print_Area" localSheetId="0">HP入力フォーム!$A$1:$J$33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9" l="1"/>
  <c r="H42" i="9"/>
  <c r="G18" i="8" s="1"/>
  <c r="H32" i="9"/>
  <c r="G16" i="8"/>
  <c r="H22" i="9"/>
  <c r="G14" i="8"/>
  <c r="H12" i="9"/>
  <c r="G12" i="8" s="1"/>
  <c r="H63" i="9"/>
  <c r="H62" i="9"/>
  <c r="H58" i="9"/>
  <c r="H57" i="9"/>
  <c r="H56" i="9"/>
  <c r="H53" i="9"/>
  <c r="H48" i="9"/>
  <c r="H47" i="9"/>
  <c r="H46" i="9"/>
  <c r="H43" i="9"/>
  <c r="H38" i="9"/>
  <c r="H37" i="9"/>
  <c r="H36" i="9"/>
  <c r="H33" i="9"/>
  <c r="H28" i="9"/>
  <c r="H27" i="9"/>
  <c r="H26" i="9"/>
  <c r="H23" i="9"/>
  <c r="H18" i="9"/>
  <c r="H17" i="9"/>
  <c r="H16" i="9"/>
  <c r="H13" i="9"/>
  <c r="G83" i="9" l="1"/>
  <c r="G82" i="9"/>
  <c r="G73" i="9"/>
  <c r="G72" i="9"/>
  <c r="G63" i="9"/>
  <c r="G62" i="9"/>
  <c r="G53" i="9"/>
  <c r="G52" i="9"/>
  <c r="G43" i="9"/>
  <c r="G42" i="9"/>
  <c r="G33" i="9"/>
  <c r="G32" i="9"/>
  <c r="G23" i="9"/>
  <c r="G22" i="9"/>
  <c r="G13" i="9"/>
  <c r="G12" i="9"/>
  <c r="F10" i="8"/>
  <c r="H7" i="9" s="1"/>
  <c r="H8" i="9" l="1"/>
  <c r="H6" i="9"/>
  <c r="H2" i="9"/>
  <c r="H9" i="9"/>
  <c r="H5" i="9"/>
  <c r="G44" i="7"/>
  <c r="K49" i="8"/>
  <c r="AA44" i="7" s="1"/>
  <c r="E52" i="8"/>
  <c r="E51" i="8"/>
  <c r="E50" i="8"/>
  <c r="H3" i="9" l="1"/>
  <c r="G10" i="8" s="1"/>
  <c r="G45" i="7"/>
  <c r="G43" i="7"/>
  <c r="E48" i="8"/>
  <c r="E47" i="8"/>
  <c r="E46" i="8"/>
  <c r="K26" i="8"/>
  <c r="K24" i="8"/>
  <c r="K22" i="8"/>
  <c r="K20" i="8"/>
  <c r="K18" i="8"/>
  <c r="K16" i="8"/>
  <c r="K14" i="8"/>
  <c r="K12" i="8"/>
  <c r="K10" i="8"/>
  <c r="H26" i="8"/>
  <c r="H24" i="8"/>
  <c r="H22" i="8"/>
  <c r="H20" i="8"/>
  <c r="H18" i="8"/>
  <c r="H16" i="8"/>
  <c r="H14" i="8"/>
  <c r="K23" i="9" s="1"/>
  <c r="H12" i="8"/>
  <c r="K12" i="9" s="1"/>
  <c r="F26" i="8"/>
  <c r="F24" i="8"/>
  <c r="F22" i="8"/>
  <c r="F20" i="8"/>
  <c r="F18" i="8"/>
  <c r="F16" i="8"/>
  <c r="F14" i="8"/>
  <c r="E26" i="8"/>
  <c r="E24" i="8"/>
  <c r="E22" i="8"/>
  <c r="E20" i="8"/>
  <c r="E18" i="8"/>
  <c r="E16" i="8"/>
  <c r="E14" i="8"/>
  <c r="E12" i="8"/>
  <c r="F12" i="8"/>
  <c r="E10" i="8"/>
  <c r="H55" i="9" l="1"/>
  <c r="H59" i="9"/>
  <c r="H19" i="9"/>
  <c r="H15" i="9"/>
  <c r="H39" i="9"/>
  <c r="H35" i="9"/>
  <c r="H25" i="9"/>
  <c r="H29" i="9"/>
  <c r="H49" i="9"/>
  <c r="H45" i="9"/>
  <c r="H73" i="9"/>
  <c r="H72" i="9"/>
  <c r="H83" i="9"/>
  <c r="H82" i="9"/>
  <c r="K22" i="9"/>
  <c r="E28" i="8"/>
  <c r="T3" i="9" s="1"/>
  <c r="H10" i="8"/>
  <c r="D28" i="8"/>
  <c r="D26" i="8"/>
  <c r="D24" i="8"/>
  <c r="D22" i="8"/>
  <c r="D20" i="8"/>
  <c r="D18" i="8"/>
  <c r="D16" i="8"/>
  <c r="D14" i="8"/>
  <c r="D12" i="8"/>
  <c r="D10" i="8"/>
  <c r="C10" i="8" l="1"/>
  <c r="B28" i="8"/>
  <c r="B30" i="8"/>
  <c r="B29" i="8"/>
  <c r="I45" i="8" l="1"/>
  <c r="I49" i="8"/>
  <c r="K24" i="7"/>
  <c r="I37" i="8"/>
  <c r="C26" i="8"/>
  <c r="C24" i="8"/>
  <c r="C22" i="8"/>
  <c r="C20" i="8"/>
  <c r="C18" i="8"/>
  <c r="C16" i="8"/>
  <c r="C14" i="8"/>
  <c r="K24" i="9" s="1"/>
  <c r="K25" i="9" s="1"/>
  <c r="C12" i="8"/>
  <c r="B26" i="8"/>
  <c r="B24" i="8"/>
  <c r="B22" i="8"/>
  <c r="B20" i="8"/>
  <c r="B18" i="8"/>
  <c r="B16" i="8"/>
  <c r="K43" i="7" l="1"/>
  <c r="Q43" i="7" s="1"/>
  <c r="B14" i="8"/>
  <c r="B12" i="8"/>
  <c r="B10" i="8"/>
  <c r="H89" i="9" l="1"/>
  <c r="H79" i="9"/>
  <c r="A16" i="7" l="1"/>
  <c r="X15" i="7"/>
  <c r="AB15" i="7" s="1"/>
  <c r="P15" i="7"/>
  <c r="A15" i="7"/>
  <c r="E15" i="7" s="1"/>
  <c r="X14" i="7"/>
  <c r="AB14" i="7" s="1"/>
  <c r="A14" i="7"/>
  <c r="E14" i="7" s="1"/>
  <c r="X13" i="7"/>
  <c r="AB13" i="7" s="1"/>
  <c r="A13" i="7"/>
  <c r="E13" i="7" s="1"/>
  <c r="P13" i="7" l="1"/>
  <c r="P14" i="7"/>
  <c r="H69" i="9" l="1"/>
  <c r="H15" i="7"/>
  <c r="H14" i="7"/>
  <c r="H13" i="7"/>
  <c r="K52" i="9"/>
  <c r="K43" i="9"/>
  <c r="K44" i="9" s="1"/>
  <c r="K42" i="9"/>
  <c r="O22" i="8"/>
  <c r="K83" i="9" l="1"/>
  <c r="K72" i="9"/>
  <c r="K73" i="9"/>
  <c r="K74" i="9" s="1"/>
  <c r="K75" i="9" s="1"/>
  <c r="P37" i="9" s="1"/>
  <c r="K62" i="9"/>
  <c r="K63" i="9"/>
  <c r="K64" i="9" s="1"/>
  <c r="K65" i="9" s="1"/>
  <c r="P35" i="9" s="1"/>
  <c r="K53" i="9"/>
  <c r="K54" i="9" s="1"/>
  <c r="K55" i="9" s="1"/>
  <c r="K45" i="9"/>
  <c r="H85" i="9"/>
  <c r="H76" i="9"/>
  <c r="H78" i="9"/>
  <c r="H75" i="9"/>
  <c r="H77" i="9"/>
  <c r="H65" i="9"/>
  <c r="H66" i="9"/>
  <c r="H68" i="9"/>
  <c r="H67" i="9"/>
  <c r="G22" i="8" l="1"/>
  <c r="L15" i="7" s="1"/>
  <c r="O37" i="9"/>
  <c r="S37" i="9" s="1"/>
  <c r="R37" i="9" s="1"/>
  <c r="L13" i="7"/>
  <c r="G24" i="8"/>
  <c r="G20" i="8"/>
  <c r="L14" i="7" s="1"/>
  <c r="O35" i="9"/>
  <c r="S35" i="9" s="1"/>
  <c r="R35" i="9" s="1"/>
  <c r="B30" i="9" l="1"/>
  <c r="B29" i="9"/>
  <c r="B28" i="9"/>
  <c r="B27" i="9"/>
  <c r="B26" i="9"/>
  <c r="B25" i="9"/>
  <c r="B24" i="9"/>
  <c r="B23" i="9"/>
  <c r="B22" i="9"/>
  <c r="B21" i="9"/>
  <c r="B20" i="9"/>
  <c r="B19" i="9"/>
  <c r="E18" i="9"/>
  <c r="B18" i="9"/>
  <c r="E17" i="9"/>
  <c r="B17" i="9"/>
  <c r="E16" i="9"/>
  <c r="B16" i="9"/>
  <c r="E15" i="9"/>
  <c r="B15" i="9"/>
  <c r="B14" i="9"/>
  <c r="B13" i="9"/>
  <c r="B31" i="9" s="1"/>
  <c r="E2" i="9"/>
  <c r="E7" i="9" s="1"/>
  <c r="E9" i="9" l="1"/>
  <c r="E10" i="9" s="1"/>
  <c r="E12" i="9" s="1"/>
  <c r="E4" i="9"/>
  <c r="E5" i="9"/>
  <c r="G11" i="8" l="1"/>
  <c r="O23" i="9"/>
  <c r="G39" i="7"/>
  <c r="G38" i="7"/>
  <c r="G34" i="7"/>
  <c r="G33" i="7"/>
  <c r="G29" i="7"/>
  <c r="G28" i="7"/>
  <c r="H28" i="8" l="1"/>
  <c r="H88" i="9"/>
  <c r="H87" i="9"/>
  <c r="H86" i="9"/>
  <c r="K84" i="9"/>
  <c r="K82" i="9"/>
  <c r="I22" i="8"/>
  <c r="T15" i="7" s="1"/>
  <c r="I24" i="8"/>
  <c r="I20" i="8"/>
  <c r="K32" i="9"/>
  <c r="K33" i="9"/>
  <c r="K34" i="9" s="1"/>
  <c r="K35" i="9" s="1"/>
  <c r="G21" i="8"/>
  <c r="K13" i="9"/>
  <c r="K3" i="9"/>
  <c r="K4" i="9" s="1"/>
  <c r="K5" i="9" s="1"/>
  <c r="K2" i="9"/>
  <c r="X17" i="7"/>
  <c r="AB17" i="7" s="1"/>
  <c r="X16" i="7"/>
  <c r="AB16" i="7" s="1"/>
  <c r="X12" i="7"/>
  <c r="AB12" i="7" s="1"/>
  <c r="X11" i="7"/>
  <c r="AB11" i="7" s="1"/>
  <c r="X10" i="7"/>
  <c r="AB10" i="7" s="1"/>
  <c r="X9" i="7"/>
  <c r="AB9" i="7" s="1"/>
  <c r="P17" i="7"/>
  <c r="P16" i="7"/>
  <c r="P12" i="7"/>
  <c r="P11" i="7"/>
  <c r="P10" i="7"/>
  <c r="P9" i="7"/>
  <c r="H17" i="7"/>
  <c r="H16" i="7"/>
  <c r="H12" i="7"/>
  <c r="H11" i="7"/>
  <c r="H10" i="7"/>
  <c r="H9" i="7"/>
  <c r="P27" i="9" l="1"/>
  <c r="O25" i="9"/>
  <c r="T14" i="7"/>
  <c r="O20" i="8"/>
  <c r="G26" i="8"/>
  <c r="O39" i="9"/>
  <c r="K85" i="9"/>
  <c r="I18" i="8"/>
  <c r="G19" i="8"/>
  <c r="O33" i="9"/>
  <c r="P33" i="9"/>
  <c r="O29" i="9"/>
  <c r="I10" i="8"/>
  <c r="P31" i="9"/>
  <c r="I16" i="8"/>
  <c r="P29" i="9"/>
  <c r="K14" i="9"/>
  <c r="K15" i="9" s="1"/>
  <c r="P25" i="9" s="1"/>
  <c r="A17" i="7"/>
  <c r="E17" i="7" s="1"/>
  <c r="E16" i="7"/>
  <c r="A12" i="7"/>
  <c r="E12" i="7" s="1"/>
  <c r="A11" i="7"/>
  <c r="E11" i="7" s="1"/>
  <c r="A10" i="7"/>
  <c r="E10" i="7" s="1"/>
  <c r="A9" i="7"/>
  <c r="E9" i="7" s="1"/>
  <c r="I14" i="8" l="1"/>
  <c r="T13" i="7"/>
  <c r="O18" i="8"/>
  <c r="I26" i="8"/>
  <c r="P39" i="9"/>
  <c r="S39" i="9" s="1"/>
  <c r="R39" i="9" s="1"/>
  <c r="S33" i="9"/>
  <c r="R33" i="9" s="1"/>
  <c r="N20" i="8" s="1"/>
  <c r="AF14" i="7" s="1"/>
  <c r="G23" i="8"/>
  <c r="N22" i="8" s="1"/>
  <c r="AF15" i="7" s="1"/>
  <c r="O31" i="9"/>
  <c r="S31" i="9" s="1"/>
  <c r="R31" i="9" s="1"/>
  <c r="N18" i="8" s="1"/>
  <c r="AF13" i="7" s="1"/>
  <c r="O27" i="9"/>
  <c r="S27" i="9" s="1"/>
  <c r="R27" i="9" s="1"/>
  <c r="S29" i="9"/>
  <c r="R29" i="9" s="1"/>
  <c r="S25" i="9"/>
  <c r="R25" i="9" s="1"/>
  <c r="P23" i="9"/>
  <c r="I12" i="8"/>
  <c r="M28" i="8"/>
  <c r="K28" i="8"/>
  <c r="C7" i="8"/>
  <c r="E44" i="8"/>
  <c r="E43" i="8"/>
  <c r="E42" i="8"/>
  <c r="E40" i="8"/>
  <c r="E39" i="8"/>
  <c r="E38" i="8"/>
  <c r="E36" i="8"/>
  <c r="E35" i="8"/>
  <c r="E34" i="8"/>
  <c r="F28" i="8"/>
  <c r="O16" i="8"/>
  <c r="AM5" i="7"/>
  <c r="D5" i="7"/>
  <c r="I28" i="8" l="1"/>
  <c r="Q18" i="8"/>
  <c r="R18" i="8" s="1"/>
  <c r="AN13" i="7" s="1"/>
  <c r="P18" i="8"/>
  <c r="AJ13" i="7" s="1"/>
  <c r="Q22" i="8"/>
  <c r="R22" i="8" s="1"/>
  <c r="AN15" i="7" s="1"/>
  <c r="P22" i="8"/>
  <c r="AJ15" i="7" s="1"/>
  <c r="V10" i="9"/>
  <c r="V11" i="9"/>
  <c r="U10" i="9"/>
  <c r="T11" i="9"/>
  <c r="U11" i="9"/>
  <c r="T10" i="9"/>
  <c r="S23" i="9"/>
  <c r="R23" i="9" s="1"/>
  <c r="N10" i="8" s="1"/>
  <c r="K23" i="7"/>
  <c r="V9" i="9"/>
  <c r="V5" i="9"/>
  <c r="U7" i="9"/>
  <c r="T9" i="9"/>
  <c r="T5" i="9"/>
  <c r="U9" i="9"/>
  <c r="T7" i="9"/>
  <c r="V3" i="9"/>
  <c r="V6" i="9"/>
  <c r="U4" i="9"/>
  <c r="V8" i="9"/>
  <c r="V4" i="9"/>
  <c r="U6" i="9"/>
  <c r="T8" i="9"/>
  <c r="T4" i="9"/>
  <c r="V7" i="9"/>
  <c r="U5" i="9"/>
  <c r="U8" i="9"/>
  <c r="T6" i="9"/>
  <c r="U3" i="9"/>
  <c r="K25" i="7"/>
  <c r="K44" i="7" s="1"/>
  <c r="Q44" i="7" s="1"/>
  <c r="I33" i="8"/>
  <c r="K22" i="7"/>
  <c r="K21" i="7"/>
  <c r="K20" i="7"/>
  <c r="P18" i="7"/>
  <c r="AB18" i="7"/>
  <c r="I41" i="8"/>
  <c r="H18" i="7"/>
  <c r="X18" i="7"/>
  <c r="Q20" i="8" l="1"/>
  <c r="R20" i="8" s="1"/>
  <c r="AN14" i="7" s="1"/>
  <c r="P20" i="8"/>
  <c r="AJ14" i="7" s="1"/>
  <c r="G17" i="8" l="1"/>
  <c r="N16" i="8" s="1"/>
  <c r="G15" i="8"/>
  <c r="N14" i="8" s="1"/>
  <c r="G27" i="8"/>
  <c r="N26" i="8" s="1"/>
  <c r="L17" i="7"/>
  <c r="G25" i="8"/>
  <c r="N24" i="8" s="1"/>
  <c r="L16" i="7"/>
  <c r="L12" i="7"/>
  <c r="L11" i="7" l="1"/>
  <c r="G13" i="8"/>
  <c r="N12" i="8" s="1"/>
  <c r="L10" i="7"/>
  <c r="G28" i="8" l="1"/>
  <c r="L9" i="7" l="1"/>
  <c r="L18" i="7" s="1"/>
  <c r="O24" i="8"/>
  <c r="O26" i="8"/>
  <c r="AF17" i="7" l="1"/>
  <c r="T17" i="7"/>
  <c r="AF16" i="7"/>
  <c r="T16" i="7"/>
  <c r="AF12" i="7"/>
  <c r="T12" i="7"/>
  <c r="Q26" i="8" l="1"/>
  <c r="R26" i="8" s="1"/>
  <c r="AN17" i="7" s="1"/>
  <c r="P26" i="8"/>
  <c r="AJ17" i="7" s="1"/>
  <c r="Q24" i="8"/>
  <c r="R24" i="8" s="1"/>
  <c r="AN16" i="7" s="1"/>
  <c r="P24" i="8"/>
  <c r="AJ16" i="7" s="1"/>
  <c r="Q16" i="8"/>
  <c r="R16" i="8" s="1"/>
  <c r="AN12" i="7" s="1"/>
  <c r="P16" i="8"/>
  <c r="AJ12" i="7" s="1"/>
  <c r="K38" i="7"/>
  <c r="Q38" i="7" s="1"/>
  <c r="K28" i="7" l="1"/>
  <c r="Q28" i="7" s="1"/>
  <c r="K33" i="7"/>
  <c r="Q33" i="7" s="1"/>
  <c r="O14" i="8"/>
  <c r="O12" i="8" l="1"/>
  <c r="AF11" i="7"/>
  <c r="T11" i="7"/>
  <c r="AF10" i="7"/>
  <c r="T10" i="7"/>
  <c r="Q14" i="8" l="1"/>
  <c r="R14" i="8" s="1"/>
  <c r="AN11" i="7" s="1"/>
  <c r="P14" i="8"/>
  <c r="AJ11" i="7" s="1"/>
  <c r="T9" i="7"/>
  <c r="T18" i="7" s="1"/>
  <c r="O10" i="8"/>
  <c r="O28" i="8" s="1"/>
  <c r="P12" i="8"/>
  <c r="AJ10" i="7" s="1"/>
  <c r="Q12" i="8"/>
  <c r="R12" i="8" s="1"/>
  <c r="AN10" i="7" s="1"/>
  <c r="AF9" i="7"/>
  <c r="AF18" i="7" l="1"/>
  <c r="P10" i="8"/>
  <c r="AJ9" i="7" s="1"/>
  <c r="N28" i="8"/>
  <c r="Q10" i="8"/>
  <c r="Q28" i="8" s="1"/>
  <c r="P28" i="8" l="1"/>
  <c r="P11" i="9" s="1"/>
  <c r="AJ18" i="7"/>
  <c r="R10" i="8"/>
  <c r="P10" i="9" l="1"/>
  <c r="O10" i="9" s="1"/>
  <c r="M10" i="9" s="1"/>
  <c r="P9" i="9"/>
  <c r="O9" i="9" s="1"/>
  <c r="M9" i="9" s="1"/>
  <c r="P8" i="9"/>
  <c r="O8" i="9" s="1"/>
  <c r="M8" i="9" s="1"/>
  <c r="O11" i="9"/>
  <c r="M11" i="9" s="1"/>
  <c r="P7" i="9"/>
  <c r="O7" i="9" s="1"/>
  <c r="M7" i="9" s="1"/>
  <c r="P5" i="9"/>
  <c r="O5" i="9" s="1"/>
  <c r="M5" i="9" s="1"/>
  <c r="P3" i="9"/>
  <c r="O3" i="9" s="1"/>
  <c r="P4" i="9"/>
  <c r="O4" i="9" s="1"/>
  <c r="M4" i="9" s="1"/>
  <c r="P6" i="9"/>
  <c r="O6" i="9" s="1"/>
  <c r="M6" i="9" s="1"/>
  <c r="AN9" i="7"/>
  <c r="AN18" i="7" s="1"/>
  <c r="Q29" i="8"/>
  <c r="AH23" i="7" s="1"/>
  <c r="K39" i="7" s="1"/>
  <c r="R28" i="8"/>
  <c r="O12" i="9" l="1"/>
  <c r="O49" i="8"/>
  <c r="P49" i="8" s="1"/>
  <c r="AH25" i="7"/>
  <c r="O45" i="8"/>
  <c r="P45" i="8" s="1"/>
  <c r="AF45" i="7" s="1"/>
  <c r="AH24" i="7"/>
  <c r="K45" i="7" s="1"/>
  <c r="Q45" i="7" s="1"/>
  <c r="Q46" i="7" s="1"/>
  <c r="O41" i="8"/>
  <c r="P41" i="8" s="1"/>
  <c r="AF39" i="7" s="1"/>
  <c r="Q39" i="7"/>
  <c r="Q40" i="7" s="1"/>
  <c r="AH22" i="7"/>
  <c r="AH21" i="7"/>
  <c r="K29" i="7" s="1"/>
  <c r="M3" i="9"/>
  <c r="O33" i="8"/>
  <c r="P33" i="8" s="1"/>
  <c r="AF29" i="7" s="1"/>
  <c r="O37" i="8"/>
  <c r="P37" i="8" s="1"/>
  <c r="AF34" i="7" s="1"/>
  <c r="K34" i="7" l="1"/>
  <c r="Q34" i="7" s="1"/>
  <c r="Q35" i="7" s="1"/>
  <c r="Q29" i="7"/>
  <c r="Q30" i="7" s="1"/>
  <c r="O13" i="9"/>
  <c r="O2" i="9" s="1"/>
  <c r="J37" i="8" l="1"/>
  <c r="K37" i="8" s="1"/>
  <c r="J45" i="8"/>
  <c r="K45" i="8" s="1"/>
  <c r="AA43" i="7" s="1"/>
  <c r="J49" i="8"/>
  <c r="V44" i="7" s="1"/>
  <c r="J33" i="8"/>
  <c r="J41" i="8"/>
  <c r="L41" i="8" s="1"/>
  <c r="AF38" i="7" s="1"/>
  <c r="H24" i="10"/>
  <c r="V43" i="7" l="1"/>
  <c r="V46" i="7" s="1"/>
  <c r="L49" i="8"/>
  <c r="AF44" i="7" s="1"/>
  <c r="L45" i="8"/>
  <c r="AF43" i="7" s="1"/>
  <c r="K33" i="8"/>
  <c r="L33" i="8" s="1"/>
  <c r="AF28" i="7" s="1"/>
  <c r="AF30" i="7" s="1"/>
  <c r="AK30" i="7" s="1"/>
  <c r="AA33" i="7"/>
  <c r="V33" i="7"/>
  <c r="V35" i="7" s="1"/>
  <c r="V38" i="7"/>
  <c r="V40" i="7" s="1"/>
  <c r="V28" i="7"/>
  <c r="V30" i="7" s="1"/>
  <c r="AF40" i="7"/>
  <c r="AK40" i="7" s="1"/>
  <c r="F26" i="10" s="1"/>
  <c r="AF46" i="7" l="1"/>
  <c r="AK46" i="7" s="1"/>
  <c r="F27" i="10" s="1"/>
  <c r="AA28" i="7"/>
  <c r="F24" i="10"/>
  <c r="L37" i="8"/>
  <c r="AF33" i="7" s="1"/>
  <c r="AF35" i="7" s="1"/>
  <c r="AK35" i="7" s="1"/>
  <c r="AE49" i="7" l="1"/>
  <c r="F25" i="10"/>
  <c r="AK52" i="7" l="1"/>
  <c r="AE52" i="7" s="1"/>
  <c r="AK49" i="7"/>
  <c r="A24" i="10"/>
</calcChain>
</file>

<file path=xl/sharedStrings.xml><?xml version="1.0" encoding="utf-8"?>
<sst xmlns="http://schemas.openxmlformats.org/spreadsheetml/2006/main" count="461" uniqueCount="202">
  <si>
    <t>円</t>
    <rPh sb="0" eb="1">
      <t>エン</t>
    </rPh>
    <phoneticPr fontId="2"/>
  </si>
  <si>
    <t>ｂ３根拠</t>
    <rPh sb="2" eb="4">
      <t>コンキョ</t>
    </rPh>
    <phoneticPr fontId="2"/>
  </si>
  <si>
    <t>配偶</t>
    <rPh sb="0" eb="2">
      <t>ハイグウ</t>
    </rPh>
    <phoneticPr fontId="2"/>
  </si>
  <si>
    <t>配特</t>
    <rPh sb="0" eb="1">
      <t>ハイ</t>
    </rPh>
    <rPh sb="1" eb="2">
      <t>トク</t>
    </rPh>
    <phoneticPr fontId="2"/>
  </si>
  <si>
    <t>特定</t>
    <rPh sb="0" eb="2">
      <t>トクテイ</t>
    </rPh>
    <phoneticPr fontId="2"/>
  </si>
  <si>
    <t>同居老親</t>
    <rPh sb="0" eb="2">
      <t>ドウキョ</t>
    </rPh>
    <rPh sb="2" eb="4">
      <t>ロウシン</t>
    </rPh>
    <phoneticPr fontId="2"/>
  </si>
  <si>
    <t>老人</t>
    <rPh sb="0" eb="2">
      <t>ロウジン</t>
    </rPh>
    <phoneticPr fontId="2"/>
  </si>
  <si>
    <t>その他</t>
    <rPh sb="2" eb="3">
      <t>タ</t>
    </rPh>
    <phoneticPr fontId="2"/>
  </si>
  <si>
    <t>同居障害</t>
    <rPh sb="0" eb="2">
      <t>ドウキョ</t>
    </rPh>
    <rPh sb="2" eb="4">
      <t>ショウガイ</t>
    </rPh>
    <phoneticPr fontId="2"/>
  </si>
  <si>
    <t>特障害</t>
    <rPh sb="0" eb="1">
      <t>トク</t>
    </rPh>
    <rPh sb="1" eb="3">
      <t>ショウガイ</t>
    </rPh>
    <phoneticPr fontId="2"/>
  </si>
  <si>
    <t>障害</t>
    <rPh sb="0" eb="2">
      <t>ショウガイ</t>
    </rPh>
    <phoneticPr fontId="2"/>
  </si>
  <si>
    <t>社会保険</t>
    <rPh sb="0" eb="2">
      <t>シャカイ</t>
    </rPh>
    <rPh sb="2" eb="4">
      <t>ホケン</t>
    </rPh>
    <phoneticPr fontId="2"/>
  </si>
  <si>
    <t>損害保険</t>
    <rPh sb="0" eb="2">
      <t>ソンガイ</t>
    </rPh>
    <rPh sb="2" eb="4">
      <t>ホケン</t>
    </rPh>
    <phoneticPr fontId="2"/>
  </si>
  <si>
    <t>本人障害</t>
    <rPh sb="0" eb="2">
      <t>ホンニン</t>
    </rPh>
    <rPh sb="2" eb="4">
      <t>ショウガイ</t>
    </rPh>
    <phoneticPr fontId="2"/>
  </si>
  <si>
    <t>本人特障</t>
    <rPh sb="0" eb="2">
      <t>ホンニン</t>
    </rPh>
    <rPh sb="2" eb="3">
      <t>トク</t>
    </rPh>
    <rPh sb="3" eb="4">
      <t>サワ</t>
    </rPh>
    <phoneticPr fontId="2"/>
  </si>
  <si>
    <t>寡婦</t>
    <rPh sb="0" eb="2">
      <t>カフ</t>
    </rPh>
    <phoneticPr fontId="2"/>
  </si>
  <si>
    <t>寡婦特</t>
    <rPh sb="0" eb="2">
      <t>カフ</t>
    </rPh>
    <rPh sb="2" eb="3">
      <t>トク</t>
    </rPh>
    <phoneticPr fontId="2"/>
  </si>
  <si>
    <t>寡夫</t>
    <rPh sb="0" eb="1">
      <t>カ</t>
    </rPh>
    <rPh sb="1" eb="2">
      <t>オット</t>
    </rPh>
    <phoneticPr fontId="2"/>
  </si>
  <si>
    <t>学生</t>
    <rPh sb="0" eb="2">
      <t>ガクセイ</t>
    </rPh>
    <phoneticPr fontId="2"/>
  </si>
  <si>
    <t>生命保険</t>
    <rPh sb="0" eb="2">
      <t>セイメイ</t>
    </rPh>
    <rPh sb="2" eb="4">
      <t>ホケン</t>
    </rPh>
    <phoneticPr fontId="2"/>
  </si>
  <si>
    <t>課税所得</t>
    <rPh sb="0" eb="2">
      <t>カゼイ</t>
    </rPh>
    <rPh sb="2" eb="4">
      <t>ショトク</t>
    </rPh>
    <phoneticPr fontId="2"/>
  </si>
  <si>
    <t>年調額</t>
    <rPh sb="0" eb="1">
      <t>ネン</t>
    </rPh>
    <rPh sb="1" eb="2">
      <t>チョウ</t>
    </rPh>
    <rPh sb="2" eb="3">
      <t>ガク</t>
    </rPh>
    <phoneticPr fontId="2"/>
  </si>
  <si>
    <t>Ｅ２基礎計算</t>
    <rPh sb="2" eb="4">
      <t>キソ</t>
    </rPh>
    <rPh sb="4" eb="6">
      <t>ケイサン</t>
    </rPh>
    <phoneticPr fontId="2"/>
  </si>
  <si>
    <t>年調①</t>
    <rPh sb="0" eb="1">
      <t>ネン</t>
    </rPh>
    <rPh sb="1" eb="2">
      <t>チョウ</t>
    </rPh>
    <phoneticPr fontId="2"/>
  </si>
  <si>
    <t>特別控除前課税額</t>
    <rPh sb="0" eb="2">
      <t>トクベツ</t>
    </rPh>
    <rPh sb="2" eb="4">
      <t>コウジョ</t>
    </rPh>
    <rPh sb="4" eb="5">
      <t>マエ</t>
    </rPh>
    <rPh sb="5" eb="7">
      <t>カゼイ</t>
    </rPh>
    <rPh sb="7" eb="8">
      <t>ガク</t>
    </rPh>
    <phoneticPr fontId="2"/>
  </si>
  <si>
    <t>源泉徴収税額</t>
    <rPh sb="0" eb="2">
      <t>ゲンセン</t>
    </rPh>
    <rPh sb="2" eb="4">
      <t>チョウシュウ</t>
    </rPh>
    <rPh sb="4" eb="6">
      <t>ゼイガク</t>
    </rPh>
    <phoneticPr fontId="2"/>
  </si>
  <si>
    <t>配偶者特別控除</t>
    <rPh sb="0" eb="3">
      <t>ハイグウシャ</t>
    </rPh>
    <rPh sb="3" eb="5">
      <t>トクベツ</t>
    </rPh>
    <rPh sb="5" eb="7">
      <t>コウジョ</t>
    </rPh>
    <phoneticPr fontId="2"/>
  </si>
  <si>
    <t>給与</t>
    <rPh sb="0" eb="2">
      <t>キュウヨ</t>
    </rPh>
    <phoneticPr fontId="2"/>
  </si>
  <si>
    <t>その他収入(1)</t>
    <rPh sb="2" eb="3">
      <t>タ</t>
    </rPh>
    <rPh sb="3" eb="5">
      <t>シュウニュウ</t>
    </rPh>
    <phoneticPr fontId="2"/>
  </si>
  <si>
    <t>その他収入(2)</t>
    <rPh sb="2" eb="3">
      <t>タ</t>
    </rPh>
    <rPh sb="3" eb="5">
      <t>シュウニュウ</t>
    </rPh>
    <phoneticPr fontId="2"/>
  </si>
  <si>
    <t>世帯主</t>
    <rPh sb="0" eb="3">
      <t>セタイヌシ</t>
    </rPh>
    <phoneticPr fontId="2"/>
  </si>
  <si>
    <t>擬制世帯の有無</t>
    <rPh sb="0" eb="2">
      <t>ギセイ</t>
    </rPh>
    <rPh sb="2" eb="4">
      <t>セタイ</t>
    </rPh>
    <rPh sb="5" eb="7">
      <t>ウム</t>
    </rPh>
    <phoneticPr fontId="2"/>
  </si>
  <si>
    <t>擬</t>
    <rPh sb="0" eb="1">
      <t>ギ</t>
    </rPh>
    <phoneticPr fontId="2"/>
  </si>
  <si>
    <t>基礎控除</t>
    <rPh sb="0" eb="2">
      <t>キソ</t>
    </rPh>
    <rPh sb="2" eb="4">
      <t>コウジョ</t>
    </rPh>
    <phoneticPr fontId="2"/>
  </si>
  <si>
    <t>基準総所得</t>
    <rPh sb="0" eb="2">
      <t>キジュン</t>
    </rPh>
    <rPh sb="2" eb="5">
      <t>ソウショトク</t>
    </rPh>
    <phoneticPr fontId="2"/>
  </si>
  <si>
    <t>65才未満</t>
    <rPh sb="2" eb="3">
      <t>サイ</t>
    </rPh>
    <rPh sb="3" eb="5">
      <t>ミマン</t>
    </rPh>
    <phoneticPr fontId="2"/>
  </si>
  <si>
    <t>所得区分</t>
    <rPh sb="0" eb="2">
      <t>ショトク</t>
    </rPh>
    <rPh sb="2" eb="4">
      <t>クブン</t>
    </rPh>
    <phoneticPr fontId="2"/>
  </si>
  <si>
    <t>営業</t>
    <rPh sb="0" eb="2">
      <t>エイギョウ</t>
    </rPh>
    <phoneticPr fontId="2"/>
  </si>
  <si>
    <t>農業</t>
    <rPh sb="0" eb="2">
      <t>ノウギョウ</t>
    </rPh>
    <phoneticPr fontId="2"/>
  </si>
  <si>
    <t>譲渡</t>
    <rPh sb="0" eb="2">
      <t>ジョウト</t>
    </rPh>
    <phoneticPr fontId="2"/>
  </si>
  <si>
    <t>配当</t>
    <rPh sb="0" eb="2">
      <t>ハイトウ</t>
    </rPh>
    <phoneticPr fontId="2"/>
  </si>
  <si>
    <t>A</t>
    <phoneticPr fontId="2"/>
  </si>
  <si>
    <t>B</t>
    <phoneticPr fontId="2"/>
  </si>
  <si>
    <t>所得種類</t>
    <rPh sb="0" eb="2">
      <t>ショトク</t>
    </rPh>
    <rPh sb="2" eb="4">
      <t>シュルイ</t>
    </rPh>
    <phoneticPr fontId="2"/>
  </si>
  <si>
    <t>収入額</t>
    <rPh sb="0" eb="2">
      <t>シュウニュウ</t>
    </rPh>
    <rPh sb="2" eb="3">
      <t>ガク</t>
    </rPh>
    <phoneticPr fontId="2"/>
  </si>
  <si>
    <t>所得額</t>
    <rPh sb="0" eb="2">
      <t>ショトク</t>
    </rPh>
    <rPh sb="2" eb="3">
      <t>ガク</t>
    </rPh>
    <phoneticPr fontId="2"/>
  </si>
  <si>
    <t>世帯主(擬)</t>
    <rPh sb="0" eb="3">
      <t>セタイヌシ</t>
    </rPh>
    <rPh sb="4" eb="5">
      <t>ギ</t>
    </rPh>
    <phoneticPr fontId="2"/>
  </si>
  <si>
    <t>員</t>
    <rPh sb="0" eb="1">
      <t>イン</t>
    </rPh>
    <phoneticPr fontId="2"/>
  </si>
  <si>
    <t>主・員区分</t>
    <rPh sb="0" eb="1">
      <t>ヌシ</t>
    </rPh>
    <rPh sb="2" eb="3">
      <t>イン</t>
    </rPh>
    <rPh sb="3" eb="5">
      <t>クブン</t>
    </rPh>
    <phoneticPr fontId="2"/>
  </si>
  <si>
    <t>0～39歳</t>
    <rPh sb="4" eb="5">
      <t>サイ</t>
    </rPh>
    <phoneticPr fontId="2"/>
  </si>
  <si>
    <t>40～64歳</t>
    <rPh sb="5" eb="6">
      <t>サイ</t>
    </rPh>
    <phoneticPr fontId="2"/>
  </si>
  <si>
    <t>65歳～</t>
    <rPh sb="2" eb="3">
      <t>サイ</t>
    </rPh>
    <phoneticPr fontId="2"/>
  </si>
  <si>
    <t>年齢区分</t>
    <rPh sb="0" eb="2">
      <t>ネンレイ</t>
    </rPh>
    <rPh sb="2" eb="4">
      <t>クブン</t>
    </rPh>
    <phoneticPr fontId="2"/>
  </si>
  <si>
    <t>65歳以上</t>
    <rPh sb="2" eb="3">
      <t>サイ</t>
    </rPh>
    <rPh sb="3" eb="5">
      <t>イジョウ</t>
    </rPh>
    <phoneticPr fontId="2"/>
  </si>
  <si>
    <t>控除</t>
    <rPh sb="0" eb="2">
      <t>コウジョ</t>
    </rPh>
    <phoneticPr fontId="2"/>
  </si>
  <si>
    <t>年金所得</t>
    <rPh sb="0" eb="2">
      <t>ネンキン</t>
    </rPh>
    <rPh sb="2" eb="4">
      <t>ショトク</t>
    </rPh>
    <phoneticPr fontId="2"/>
  </si>
  <si>
    <t>年金所得計算</t>
    <rPh sb="0" eb="2">
      <t>ネンキン</t>
    </rPh>
    <rPh sb="2" eb="4">
      <t>ショトク</t>
    </rPh>
    <rPh sb="4" eb="6">
      <t>ケイサン</t>
    </rPh>
    <phoneticPr fontId="2"/>
  </si>
  <si>
    <t>給与所得計算</t>
    <rPh sb="0" eb="2">
      <t>キュウヨ</t>
    </rPh>
    <rPh sb="2" eb="4">
      <t>ショトク</t>
    </rPh>
    <rPh sb="4" eb="6">
      <t>ケイサン</t>
    </rPh>
    <phoneticPr fontId="2"/>
  </si>
  <si>
    <t>軽減</t>
    <rPh sb="0" eb="2">
      <t>ケイゲン</t>
    </rPh>
    <phoneticPr fontId="2"/>
  </si>
  <si>
    <t>2人世帯</t>
    <rPh sb="1" eb="2">
      <t>ニン</t>
    </rPh>
    <rPh sb="2" eb="4">
      <t>セタイ</t>
    </rPh>
    <phoneticPr fontId="2"/>
  </si>
  <si>
    <t>3人世帯</t>
    <rPh sb="1" eb="2">
      <t>ニン</t>
    </rPh>
    <rPh sb="2" eb="4">
      <t>セタイ</t>
    </rPh>
    <phoneticPr fontId="2"/>
  </si>
  <si>
    <t>4人世帯</t>
    <rPh sb="1" eb="2">
      <t>ニン</t>
    </rPh>
    <rPh sb="2" eb="4">
      <t>セタイ</t>
    </rPh>
    <phoneticPr fontId="2"/>
  </si>
  <si>
    <t>5人世帯</t>
    <rPh sb="1" eb="2">
      <t>ニン</t>
    </rPh>
    <rPh sb="2" eb="4">
      <t>セタイ</t>
    </rPh>
    <phoneticPr fontId="2"/>
  </si>
  <si>
    <t>6人世帯</t>
    <rPh sb="1" eb="2">
      <t>ニン</t>
    </rPh>
    <rPh sb="2" eb="4">
      <t>セタイ</t>
    </rPh>
    <phoneticPr fontId="2"/>
  </si>
  <si>
    <t>7人世帯</t>
    <rPh sb="1" eb="2">
      <t>ニン</t>
    </rPh>
    <rPh sb="2" eb="4">
      <t>セタイ</t>
    </rPh>
    <phoneticPr fontId="2"/>
  </si>
  <si>
    <t>均等割額</t>
    <rPh sb="0" eb="3">
      <t>キントウワ</t>
    </rPh>
    <rPh sb="3" eb="4">
      <t>ガク</t>
    </rPh>
    <phoneticPr fontId="2"/>
  </si>
  <si>
    <t>所得割額</t>
    <rPh sb="0" eb="2">
      <t>ショトク</t>
    </rPh>
    <rPh sb="2" eb="3">
      <t>ワリ</t>
    </rPh>
    <rPh sb="3" eb="4">
      <t>ガク</t>
    </rPh>
    <phoneticPr fontId="2"/>
  </si>
  <si>
    <t>医療分</t>
    <rPh sb="0" eb="2">
      <t>イリョウ</t>
    </rPh>
    <rPh sb="2" eb="3">
      <t>ブン</t>
    </rPh>
    <phoneticPr fontId="2"/>
  </si>
  <si>
    <t>後期高齢支援分</t>
    <rPh sb="0" eb="2">
      <t>コウキ</t>
    </rPh>
    <rPh sb="2" eb="4">
      <t>コウレイ</t>
    </rPh>
    <rPh sb="4" eb="6">
      <t>シエン</t>
    </rPh>
    <rPh sb="6" eb="7">
      <t>ブン</t>
    </rPh>
    <phoneticPr fontId="2"/>
  </si>
  <si>
    <t>介護分</t>
    <rPh sb="0" eb="2">
      <t>カイゴ</t>
    </rPh>
    <rPh sb="2" eb="3">
      <t>ブン</t>
    </rPh>
    <phoneticPr fontId="2"/>
  </si>
  <si>
    <t>基準額</t>
    <rPh sb="0" eb="2">
      <t>キジュン</t>
    </rPh>
    <rPh sb="2" eb="3">
      <t>ガク</t>
    </rPh>
    <phoneticPr fontId="2"/>
  </si>
  <si>
    <t>均等割</t>
    <rPh sb="0" eb="3">
      <t>キントウワ</t>
    </rPh>
    <phoneticPr fontId="2"/>
  </si>
  <si>
    <t>基本算定額</t>
    <rPh sb="0" eb="2">
      <t>キホン</t>
    </rPh>
    <rPh sb="2" eb="4">
      <t>サンテイ</t>
    </rPh>
    <rPh sb="4" eb="5">
      <t>ガク</t>
    </rPh>
    <phoneticPr fontId="2"/>
  </si>
  <si>
    <t>計</t>
    <rPh sb="0" eb="1">
      <t>ケイ</t>
    </rPh>
    <phoneticPr fontId="2"/>
  </si>
  <si>
    <t>軽減額</t>
    <rPh sb="0" eb="2">
      <t>ケイゲン</t>
    </rPh>
    <rPh sb="2" eb="3">
      <t>ガク</t>
    </rPh>
    <phoneticPr fontId="2"/>
  </si>
  <si>
    <t>軽減後の額</t>
    <rPh sb="0" eb="2">
      <t>ケイゲン</t>
    </rPh>
    <rPh sb="2" eb="3">
      <t>ゴ</t>
    </rPh>
    <rPh sb="4" eb="5">
      <t>ガク</t>
    </rPh>
    <phoneticPr fontId="2"/>
  </si>
  <si>
    <t>軽減判定</t>
    <rPh sb="0" eb="2">
      <t>ケイゲン</t>
    </rPh>
    <rPh sb="2" eb="4">
      <t>ハンテイ</t>
    </rPh>
    <phoneticPr fontId="2"/>
  </si>
  <si>
    <t>所得割</t>
    <rPh sb="0" eb="2">
      <t>ショトク</t>
    </rPh>
    <rPh sb="2" eb="3">
      <t>ワリ</t>
    </rPh>
    <phoneticPr fontId="2"/>
  </si>
  <si>
    <t>対象基準額</t>
    <rPh sb="0" eb="2">
      <t>タイショウ</t>
    </rPh>
    <rPh sb="2" eb="4">
      <t>キジュン</t>
    </rPh>
    <rPh sb="4" eb="5">
      <t>ガク</t>
    </rPh>
    <phoneticPr fontId="2"/>
  </si>
  <si>
    <t>課税額</t>
    <rPh sb="0" eb="2">
      <t>カゼイ</t>
    </rPh>
    <rPh sb="2" eb="3">
      <t>ガク</t>
    </rPh>
    <phoneticPr fontId="2"/>
  </si>
  <si>
    <t>年度</t>
    <rPh sb="0" eb="2">
      <t>ネンド</t>
    </rPh>
    <phoneticPr fontId="2"/>
  </si>
  <si>
    <t>国民健康保険税試算のための入力欄</t>
    <rPh sb="0" eb="2">
      <t>コクミン</t>
    </rPh>
    <rPh sb="2" eb="4">
      <t>ケンコウ</t>
    </rPh>
    <rPh sb="4" eb="6">
      <t>ホケン</t>
    </rPh>
    <rPh sb="6" eb="7">
      <t>ゼイ</t>
    </rPh>
    <rPh sb="7" eb="9">
      <t>シサン</t>
    </rPh>
    <rPh sb="13" eb="15">
      <t>ニュウリョク</t>
    </rPh>
    <rPh sb="15" eb="16">
      <t>ラン</t>
    </rPh>
    <phoneticPr fontId="2"/>
  </si>
  <si>
    <t>年度の国民健康保険税の試算です。</t>
    <rPh sb="0" eb="2">
      <t>ネンド</t>
    </rPh>
    <rPh sb="3" eb="5">
      <t>コクミン</t>
    </rPh>
    <rPh sb="5" eb="7">
      <t>ケンコウ</t>
    </rPh>
    <rPh sb="7" eb="9">
      <t>ホケン</t>
    </rPh>
    <rPh sb="9" eb="10">
      <t>ゼイ</t>
    </rPh>
    <rPh sb="11" eb="13">
      <t>シサン</t>
    </rPh>
    <phoneticPr fontId="2"/>
  </si>
  <si>
    <t>納税義務者名</t>
    <rPh sb="0" eb="2">
      <t>ノウゼイ</t>
    </rPh>
    <rPh sb="2" eb="5">
      <t>ギムシャ</t>
    </rPh>
    <rPh sb="5" eb="6">
      <t>メイ</t>
    </rPh>
    <phoneticPr fontId="2"/>
  </si>
  <si>
    <t>(暫定的試算ですので、正式な納税通知書をお待ちください。)</t>
    <rPh sb="1" eb="4">
      <t>ザンテイテキ</t>
    </rPh>
    <rPh sb="4" eb="6">
      <t>シサン</t>
    </rPh>
    <rPh sb="11" eb="13">
      <t>セイシキ</t>
    </rPh>
    <rPh sb="14" eb="16">
      <t>ノウゼイ</t>
    </rPh>
    <rPh sb="16" eb="19">
      <t>ツウチショ</t>
    </rPh>
    <rPh sb="21" eb="22">
      <t>マ</t>
    </rPh>
    <phoneticPr fontId="2"/>
  </si>
  <si>
    <t>年齢
区分</t>
    <rPh sb="0" eb="2">
      <t>ネンレイ</t>
    </rPh>
    <rPh sb="3" eb="5">
      <t>クブン</t>
    </rPh>
    <phoneticPr fontId="2"/>
  </si>
  <si>
    <t>給    与</t>
    <rPh sb="0" eb="1">
      <t>キュウ</t>
    </rPh>
    <rPh sb="5" eb="6">
      <t>アタエ</t>
    </rPh>
    <phoneticPr fontId="2"/>
  </si>
  <si>
    <t>年    金</t>
    <rPh sb="0" eb="1">
      <t>トシ</t>
    </rPh>
    <rPh sb="5" eb="6">
      <t>キン</t>
    </rPh>
    <phoneticPr fontId="2"/>
  </si>
  <si>
    <t>その他収入</t>
    <rPh sb="2" eb="3">
      <t>タ</t>
    </rPh>
    <rPh sb="3" eb="5">
      <t>シュウニュウ</t>
    </rPh>
    <phoneticPr fontId="2"/>
  </si>
  <si>
    <t>基準総所得
(基礎控除後)</t>
    <rPh sb="0" eb="2">
      <t>キジュン</t>
    </rPh>
    <rPh sb="2" eb="5">
      <t>ソウショトク</t>
    </rPh>
    <rPh sb="7" eb="9">
      <t>キソ</t>
    </rPh>
    <rPh sb="9" eb="11">
      <t>コウジョ</t>
    </rPh>
    <rPh sb="11" eb="12">
      <t>ゴ</t>
    </rPh>
    <phoneticPr fontId="2"/>
  </si>
  <si>
    <t>課税被保険者数</t>
    <rPh sb="0" eb="2">
      <t>カゼイ</t>
    </rPh>
    <rPh sb="2" eb="6">
      <t>ヒホケンシャ</t>
    </rPh>
    <rPh sb="6" eb="7">
      <t>スウ</t>
    </rPh>
    <phoneticPr fontId="2"/>
  </si>
  <si>
    <t>人</t>
    <rPh sb="0" eb="1">
      <t>ニン</t>
    </rPh>
    <phoneticPr fontId="2"/>
  </si>
  <si>
    <t>後期高齢者支援分課税人数</t>
    <rPh sb="0" eb="2">
      <t>コウキ</t>
    </rPh>
    <rPh sb="2" eb="5">
      <t>コウレイシャ</t>
    </rPh>
    <rPh sb="5" eb="7">
      <t>シエン</t>
    </rPh>
    <rPh sb="7" eb="8">
      <t>ブン</t>
    </rPh>
    <rPh sb="8" eb="10">
      <t>カゼイ</t>
    </rPh>
    <rPh sb="10" eb="12">
      <t>ニンズウ</t>
    </rPh>
    <phoneticPr fontId="2"/>
  </si>
  <si>
    <t>介護分課税人数</t>
    <rPh sb="0" eb="2">
      <t>カイゴ</t>
    </rPh>
    <rPh sb="2" eb="3">
      <t>ブン</t>
    </rPh>
    <rPh sb="3" eb="5">
      <t>カゼイ</t>
    </rPh>
    <rPh sb="5" eb="7">
      <t>ニンズウ</t>
    </rPh>
    <phoneticPr fontId="2"/>
  </si>
  <si>
    <t>均等割</t>
    <rPh sb="0" eb="2">
      <t>キントウ</t>
    </rPh>
    <rPh sb="2" eb="3">
      <t>ワ</t>
    </rPh>
    <phoneticPr fontId="2"/>
  </si>
  <si>
    <t>医療分課税人数</t>
    <rPh sb="0" eb="2">
      <t>イリョウ</t>
    </rPh>
    <rPh sb="2" eb="3">
      <t>ブン</t>
    </rPh>
    <rPh sb="3" eb="5">
      <t>カゼイ</t>
    </rPh>
    <rPh sb="5" eb="7">
      <t>ニンズウ</t>
    </rPh>
    <phoneticPr fontId="2"/>
  </si>
  <si>
    <t>基礎控除後の基準総所得額</t>
    <rPh sb="0" eb="2">
      <t>キソ</t>
    </rPh>
    <rPh sb="2" eb="4">
      <t>コウジョ</t>
    </rPh>
    <rPh sb="4" eb="5">
      <t>ゴ</t>
    </rPh>
    <rPh sb="6" eb="8">
      <t>キジュン</t>
    </rPh>
    <rPh sb="8" eb="11">
      <t>ソウショトク</t>
    </rPh>
    <rPh sb="11" eb="12">
      <t>ガク</t>
    </rPh>
    <phoneticPr fontId="2"/>
  </si>
  <si>
    <t>税率・額</t>
    <rPh sb="0" eb="2">
      <t>ゼイリツ</t>
    </rPh>
    <rPh sb="3" eb="4">
      <t>ガク</t>
    </rPh>
    <phoneticPr fontId="2"/>
  </si>
  <si>
    <t>％</t>
    <phoneticPr fontId="2"/>
  </si>
  <si>
    <t>課税対象数・額</t>
    <rPh sb="0" eb="2">
      <t>カゼイ</t>
    </rPh>
    <rPh sb="2" eb="4">
      <t>タイショウ</t>
    </rPh>
    <rPh sb="4" eb="5">
      <t>スウ</t>
    </rPh>
    <rPh sb="6" eb="7">
      <t>ガク</t>
    </rPh>
    <phoneticPr fontId="2"/>
  </si>
  <si>
    <t>算出額</t>
    <rPh sb="0" eb="2">
      <t>サンシュツ</t>
    </rPh>
    <rPh sb="2" eb="3">
      <t>ガク</t>
    </rPh>
    <phoneticPr fontId="2"/>
  </si>
  <si>
    <t>-</t>
    <phoneticPr fontId="2"/>
  </si>
  <si>
    <t>項目</t>
    <rPh sb="0" eb="2">
      <t>コウモク</t>
    </rPh>
    <phoneticPr fontId="2"/>
  </si>
  <si>
    <t>軽減後課税額</t>
    <rPh sb="0" eb="2">
      <t>ケイゲン</t>
    </rPh>
    <rPh sb="2" eb="3">
      <t>ゴ</t>
    </rPh>
    <rPh sb="3" eb="5">
      <t>カゼイ</t>
    </rPh>
    <rPh sb="5" eb="6">
      <t>ガク</t>
    </rPh>
    <phoneticPr fontId="2"/>
  </si>
  <si>
    <t>40～64</t>
    <phoneticPr fontId="2"/>
  </si>
  <si>
    <t>0～39</t>
    <phoneticPr fontId="2"/>
  </si>
  <si>
    <t>課税数</t>
    <rPh sb="0" eb="2">
      <t>カゼイ</t>
    </rPh>
    <rPh sb="2" eb="3">
      <t>カズ</t>
    </rPh>
    <phoneticPr fontId="2"/>
  </si>
  <si>
    <t>注)</t>
    <rPh sb="0" eb="1">
      <t>チュウ</t>
    </rPh>
    <phoneticPr fontId="2"/>
  </si>
  <si>
    <t>A</t>
    <phoneticPr fontId="2"/>
  </si>
  <si>
    <t>該当</t>
    <rPh sb="0" eb="2">
      <t>ガイトウ</t>
    </rPh>
    <phoneticPr fontId="2"/>
  </si>
  <si>
    <t>B</t>
    <phoneticPr fontId="2"/>
  </si>
  <si>
    <t>該当区分</t>
    <rPh sb="0" eb="2">
      <t>ガイトウ</t>
    </rPh>
    <rPh sb="2" eb="4">
      <t>クブン</t>
    </rPh>
    <phoneticPr fontId="2"/>
  </si>
  <si>
    <t>非該当</t>
    <rPh sb="0" eb="1">
      <t>ヒ</t>
    </rPh>
    <rPh sb="1" eb="3">
      <t>ガイトウ</t>
    </rPh>
    <phoneticPr fontId="2"/>
  </si>
  <si>
    <t>軽減なし</t>
    <rPh sb="0" eb="2">
      <t>ケイゲン</t>
    </rPh>
    <phoneticPr fontId="2"/>
  </si>
  <si>
    <t>軽減区分</t>
    <rPh sb="0" eb="2">
      <t>ケイゲン</t>
    </rPh>
    <rPh sb="2" eb="4">
      <t>クブン</t>
    </rPh>
    <phoneticPr fontId="2"/>
  </si>
  <si>
    <t>2割</t>
    <rPh sb="1" eb="2">
      <t>ワリ</t>
    </rPh>
    <phoneticPr fontId="2"/>
  </si>
  <si>
    <t>1人世帯</t>
    <rPh sb="1" eb="2">
      <t>ニン</t>
    </rPh>
    <rPh sb="2" eb="4">
      <t>セタイ</t>
    </rPh>
    <phoneticPr fontId="2"/>
  </si>
  <si>
    <t>限度超過分差引後
課税額</t>
    <rPh sb="0" eb="2">
      <t>ゲンド</t>
    </rPh>
    <rPh sb="2" eb="4">
      <t>チョウカ</t>
    </rPh>
    <rPh sb="4" eb="5">
      <t>ブン</t>
    </rPh>
    <rPh sb="5" eb="7">
      <t>サシヒ</t>
    </rPh>
    <rPh sb="7" eb="8">
      <t>ゴ</t>
    </rPh>
    <rPh sb="9" eb="11">
      <t>カゼイ</t>
    </rPh>
    <rPh sb="11" eb="12">
      <t>ガク</t>
    </rPh>
    <phoneticPr fontId="2"/>
  </si>
  <si>
    <t>主・員  
  区分</t>
    <rPh sb="0" eb="1">
      <t>ヌシ</t>
    </rPh>
    <rPh sb="2" eb="3">
      <t>イン</t>
    </rPh>
    <rPh sb="8" eb="10">
      <t>クブン</t>
    </rPh>
    <phoneticPr fontId="2"/>
  </si>
  <si>
    <t>　旧社会保険被扶養者になっていた場合は申請により減免の適用があります。</t>
    <rPh sb="1" eb="2">
      <t>キュウ</t>
    </rPh>
    <rPh sb="2" eb="4">
      <t>シャカイ</t>
    </rPh>
    <rPh sb="4" eb="6">
      <t>ホケン</t>
    </rPh>
    <rPh sb="6" eb="7">
      <t>ヒ</t>
    </rPh>
    <rPh sb="7" eb="9">
      <t>フヨウ</t>
    </rPh>
    <rPh sb="9" eb="10">
      <t>シャ</t>
    </rPh>
    <rPh sb="16" eb="18">
      <t>バアイ</t>
    </rPh>
    <rPh sb="19" eb="21">
      <t>シンセイ</t>
    </rPh>
    <rPh sb="24" eb="26">
      <t>ゲンメン</t>
    </rPh>
    <rPh sb="27" eb="29">
      <t>テキヨウ</t>
    </rPh>
    <phoneticPr fontId="2"/>
  </si>
  <si>
    <t>保険税軽減判定</t>
    <rPh sb="0" eb="2">
      <t>ホケン</t>
    </rPh>
    <rPh sb="2" eb="3">
      <t>ゼイ</t>
    </rPh>
    <rPh sb="3" eb="5">
      <t>ケイゲン</t>
    </rPh>
    <rPh sb="5" eb="7">
      <t>ハンテイ</t>
    </rPh>
    <phoneticPr fontId="2"/>
  </si>
  <si>
    <t>失業</t>
    <rPh sb="0" eb="2">
      <t>シツギョウ</t>
    </rPh>
    <phoneticPr fontId="2"/>
  </si>
  <si>
    <t>失業区分</t>
    <rPh sb="0" eb="2">
      <t>シツギョウ</t>
    </rPh>
    <rPh sb="2" eb="4">
      <t>クブン</t>
    </rPh>
    <phoneticPr fontId="2"/>
  </si>
  <si>
    <t>所得額
(失業軽減後)</t>
    <rPh sb="0" eb="2">
      <t>ショトク</t>
    </rPh>
    <rPh sb="2" eb="3">
      <t>ガク</t>
    </rPh>
    <rPh sb="5" eb="7">
      <t>シツギョウ</t>
    </rPh>
    <rPh sb="7" eb="9">
      <t>ケイゲン</t>
    </rPh>
    <rPh sb="9" eb="10">
      <t>ゴ</t>
    </rPh>
    <phoneticPr fontId="2"/>
  </si>
  <si>
    <t>　非自発的失業者の場合、所得を30/100で計算します。失業の有無欄に「失業」を選択してください。</t>
    <rPh sb="1" eb="2">
      <t>ヒ</t>
    </rPh>
    <rPh sb="2" eb="5">
      <t>ジハツテキ</t>
    </rPh>
    <rPh sb="5" eb="8">
      <t>シツギョウシャ</t>
    </rPh>
    <rPh sb="9" eb="11">
      <t>バアイ</t>
    </rPh>
    <rPh sb="12" eb="14">
      <t>ショトク</t>
    </rPh>
    <rPh sb="22" eb="24">
      <t>ケイサン</t>
    </rPh>
    <rPh sb="28" eb="30">
      <t>シツギョウ</t>
    </rPh>
    <rPh sb="31" eb="33">
      <t>ウム</t>
    </rPh>
    <rPh sb="33" eb="34">
      <t>ラン</t>
    </rPh>
    <rPh sb="36" eb="38">
      <t>シツギョウ</t>
    </rPh>
    <rPh sb="40" eb="42">
      <t>センタク</t>
    </rPh>
    <phoneticPr fontId="2"/>
  </si>
  <si>
    <t>2割軽減</t>
    <rPh sb="1" eb="2">
      <t>ワリ</t>
    </rPh>
    <rPh sb="2" eb="4">
      <t>ケイゲン</t>
    </rPh>
    <phoneticPr fontId="2"/>
  </si>
  <si>
    <t>世帯員</t>
    <rPh sb="0" eb="3">
      <t>セタイイン</t>
    </rPh>
    <phoneticPr fontId="2"/>
  </si>
  <si>
    <t>7割軽減</t>
    <rPh sb="1" eb="2">
      <t>ワリ</t>
    </rPh>
    <rPh sb="2" eb="4">
      <t>ケイゲン</t>
    </rPh>
    <phoneticPr fontId="2"/>
  </si>
  <si>
    <t>5割軽減</t>
    <rPh sb="1" eb="2">
      <t>ワリ</t>
    </rPh>
    <rPh sb="2" eb="4">
      <t>ケイゲン</t>
    </rPh>
    <phoneticPr fontId="2"/>
  </si>
  <si>
    <t>7割</t>
    <phoneticPr fontId="2"/>
  </si>
  <si>
    <t>5割</t>
    <phoneticPr fontId="2"/>
  </si>
  <si>
    <t>試算結果</t>
    <rPh sb="0" eb="2">
      <t>シサン</t>
    </rPh>
    <rPh sb="2" eb="4">
      <t>ケッカ</t>
    </rPh>
    <phoneticPr fontId="2"/>
  </si>
  <si>
    <t>月割</t>
    <rPh sb="0" eb="2">
      <t>ツキワ</t>
    </rPh>
    <phoneticPr fontId="2"/>
  </si>
  <si>
    <t>令和</t>
    <rPh sb="0" eb="2">
      <t>レイワ</t>
    </rPh>
    <phoneticPr fontId="2"/>
  </si>
  <si>
    <t>医療分</t>
    <rPh sb="0" eb="1">
      <t>イ</t>
    </rPh>
    <rPh sb="1" eb="2">
      <t>リョウ</t>
    </rPh>
    <rPh sb="2" eb="3">
      <t>ブン</t>
    </rPh>
    <phoneticPr fontId="2"/>
  </si>
  <si>
    <t>　分離課税のある世帯の計算はできません！</t>
    <phoneticPr fontId="2"/>
  </si>
  <si>
    <t>18歳未満被保者数</t>
    <rPh sb="2" eb="5">
      <t>サイミマン</t>
    </rPh>
    <rPh sb="5" eb="6">
      <t>ヒ</t>
    </rPh>
    <rPh sb="6" eb="7">
      <t>ホ</t>
    </rPh>
    <rPh sb="7" eb="8">
      <t>シャ</t>
    </rPh>
    <rPh sb="8" eb="9">
      <t>スウ</t>
    </rPh>
    <phoneticPr fontId="2"/>
  </si>
  <si>
    <t>18歳未満軽減額</t>
    <rPh sb="2" eb="3">
      <t>サイ</t>
    </rPh>
    <rPh sb="3" eb="5">
      <t>ミマン</t>
    </rPh>
    <rPh sb="5" eb="7">
      <t>ケイゲン</t>
    </rPh>
    <rPh sb="7" eb="8">
      <t>ガク</t>
    </rPh>
    <phoneticPr fontId="2"/>
  </si>
  <si>
    <t>18歳未満軽減額</t>
    <rPh sb="2" eb="5">
      <t>サイミマン</t>
    </rPh>
    <rPh sb="5" eb="7">
      <t>ケイゲン</t>
    </rPh>
    <rPh sb="7" eb="8">
      <t>ガク</t>
    </rPh>
    <phoneticPr fontId="2"/>
  </si>
  <si>
    <t>円</t>
    <rPh sb="0" eb="1">
      <t>エン</t>
    </rPh>
    <phoneticPr fontId="2"/>
  </si>
  <si>
    <t>-</t>
    <phoneticPr fontId="2"/>
  </si>
  <si>
    <t>特定同一世帯員数</t>
    <rPh sb="0" eb="2">
      <t>トクテイ</t>
    </rPh>
    <rPh sb="2" eb="4">
      <t>ドウイツ</t>
    </rPh>
    <rPh sb="4" eb="7">
      <t>セタイイン</t>
    </rPh>
    <rPh sb="7" eb="8">
      <t>スウ</t>
    </rPh>
    <phoneticPr fontId="2"/>
  </si>
  <si>
    <t>未申告</t>
    <rPh sb="0" eb="3">
      <t>ミシンコク</t>
    </rPh>
    <phoneticPr fontId="2"/>
  </si>
  <si>
    <t>給与・年金所得あり
18歳未満
未申告</t>
    <rPh sb="0" eb="2">
      <t>キュウヨ</t>
    </rPh>
    <rPh sb="3" eb="7">
      <t>ネンキンショトク</t>
    </rPh>
    <rPh sb="12" eb="13">
      <t>サイ</t>
    </rPh>
    <rPh sb="13" eb="15">
      <t>ミマン</t>
    </rPh>
    <rPh sb="16" eb="19">
      <t>ミシンコク</t>
    </rPh>
    <phoneticPr fontId="2"/>
  </si>
  <si>
    <t>給与・年金調整控除</t>
    <rPh sb="0" eb="2">
      <t>キュウヨ</t>
    </rPh>
    <rPh sb="3" eb="5">
      <t>ネンキン</t>
    </rPh>
    <rPh sb="5" eb="9">
      <t>チョウセイコウジョ</t>
    </rPh>
    <phoneticPr fontId="2"/>
  </si>
  <si>
    <t>調整控除額</t>
    <rPh sb="0" eb="5">
      <t>チョウセイコウジョガク</t>
    </rPh>
    <phoneticPr fontId="2"/>
  </si>
  <si>
    <r>
      <t xml:space="preserve">所得合計
</t>
    </r>
    <r>
      <rPr>
        <sz val="9"/>
        <rFont val="ＭＳ Ｐゴシック"/>
        <family val="3"/>
        <charset val="128"/>
      </rPr>
      <t>(調整控除後)</t>
    </r>
    <rPh sb="0" eb="2">
      <t>ショトク</t>
    </rPh>
    <rPh sb="2" eb="4">
      <t>ゴウケイ</t>
    </rPh>
    <rPh sb="6" eb="11">
      <t>チョウセイコウジョゴ</t>
    </rPh>
    <phoneticPr fontId="2"/>
  </si>
  <si>
    <r>
      <t xml:space="preserve">所得合計
</t>
    </r>
    <r>
      <rPr>
        <sz val="9"/>
        <rFont val="ＭＳ Ｐゴシック"/>
        <family val="3"/>
        <charset val="128"/>
      </rPr>
      <t>(調整控除)</t>
    </r>
    <rPh sb="0" eb="2">
      <t>ショトク</t>
    </rPh>
    <rPh sb="2" eb="4">
      <t>ゴウケイ</t>
    </rPh>
    <rPh sb="6" eb="10">
      <t>チョウセイコウジョ</t>
    </rPh>
    <phoneticPr fontId="2"/>
  </si>
  <si>
    <r>
      <t xml:space="preserve">基準総所得
</t>
    </r>
    <r>
      <rPr>
        <sz val="9"/>
        <rFont val="ＭＳ Ｐゴシック"/>
        <family val="3"/>
        <charset val="128"/>
      </rPr>
      <t>(基礎控除後)</t>
    </r>
    <rPh sb="0" eb="2">
      <t>キジュン</t>
    </rPh>
    <rPh sb="2" eb="5">
      <t>ソウショトク</t>
    </rPh>
    <rPh sb="7" eb="9">
      <t>キソ</t>
    </rPh>
    <rPh sb="9" eb="11">
      <t>コウジョ</t>
    </rPh>
    <rPh sb="11" eb="12">
      <t>ゴ</t>
    </rPh>
    <phoneticPr fontId="2"/>
  </si>
  <si>
    <t>8人世帯</t>
    <rPh sb="1" eb="2">
      <t>ニン</t>
    </rPh>
    <rPh sb="2" eb="4">
      <t>セタイ</t>
    </rPh>
    <phoneticPr fontId="2"/>
  </si>
  <si>
    <t>9人世帯</t>
    <rPh sb="1" eb="2">
      <t>ニン</t>
    </rPh>
    <rPh sb="2" eb="4">
      <t>セタイ</t>
    </rPh>
    <phoneticPr fontId="2"/>
  </si>
  <si>
    <t>●試算の手順（水色のセルに下記の通り入力してください）</t>
    <rPh sb="1" eb="3">
      <t>シサン</t>
    </rPh>
    <rPh sb="4" eb="6">
      <t>テジュン</t>
    </rPh>
    <rPh sb="7" eb="9">
      <t>ミズイロ</t>
    </rPh>
    <rPh sb="13" eb="15">
      <t>カキ</t>
    </rPh>
    <rPh sb="16" eb="17">
      <t>トオ</t>
    </rPh>
    <rPh sb="18" eb="20">
      <t>ニュウリョク</t>
    </rPh>
    <phoneticPr fontId="2"/>
  </si>
  <si>
    <t>入力１</t>
    <rPh sb="0" eb="2">
      <t>ニュウリョク</t>
    </rPh>
    <phoneticPr fontId="2"/>
  </si>
  <si>
    <t>世帯主は国保に加入しますか</t>
    <rPh sb="0" eb="3">
      <t>セタイヌシ</t>
    </rPh>
    <rPh sb="4" eb="6">
      <t>コクホ</t>
    </rPh>
    <rPh sb="7" eb="9">
      <t>カニュウ</t>
    </rPh>
    <phoneticPr fontId="2"/>
  </si>
  <si>
    <t>入力２</t>
    <rPh sb="0" eb="2">
      <t>ニュウリョク</t>
    </rPh>
    <phoneticPr fontId="2"/>
  </si>
  <si>
    <t>給与収入総額</t>
    <rPh sb="0" eb="2">
      <t>キュウヨ</t>
    </rPh>
    <rPh sb="2" eb="4">
      <t>シュウニュウ</t>
    </rPh>
    <rPh sb="4" eb="6">
      <t>ソウガク</t>
    </rPh>
    <phoneticPr fontId="2"/>
  </si>
  <si>
    <t>年金収入総額</t>
    <rPh sb="0" eb="2">
      <t>ネンキン</t>
    </rPh>
    <rPh sb="2" eb="4">
      <t>シュウニュウ</t>
    </rPh>
    <rPh sb="4" eb="6">
      <t>ソウガク</t>
    </rPh>
    <phoneticPr fontId="2"/>
  </si>
  <si>
    <t>その他所得</t>
    <rPh sb="2" eb="3">
      <t>タ</t>
    </rPh>
    <rPh sb="3" eb="5">
      <t>ショトク</t>
    </rPh>
    <phoneticPr fontId="2"/>
  </si>
  <si>
    <t>年間保険税額</t>
    <rPh sb="0" eb="2">
      <t>ネンカン</t>
    </rPh>
    <rPh sb="2" eb="4">
      <t>ホケン</t>
    </rPh>
    <rPh sb="4" eb="5">
      <t>ゼイ</t>
    </rPh>
    <rPh sb="5" eb="6">
      <t>ガク</t>
    </rPh>
    <phoneticPr fontId="2"/>
  </si>
  <si>
    <t>内　　　　　　　　訳</t>
    <rPh sb="0" eb="1">
      <t>ナイ</t>
    </rPh>
    <rPh sb="9" eb="10">
      <t>ヤク</t>
    </rPh>
    <phoneticPr fontId="2"/>
  </si>
  <si>
    <t>医療給付費分</t>
    <rPh sb="0" eb="2">
      <t>イリョウ</t>
    </rPh>
    <rPh sb="2" eb="4">
      <t>キュウフ</t>
    </rPh>
    <rPh sb="4" eb="5">
      <t>ヒ</t>
    </rPh>
    <rPh sb="5" eb="6">
      <t>ブン</t>
    </rPh>
    <phoneticPr fontId="2"/>
  </si>
  <si>
    <t>後期高齢支援金分</t>
    <rPh sb="0" eb="2">
      <t>コウキ</t>
    </rPh>
    <rPh sb="2" eb="4">
      <t>コウレイ</t>
    </rPh>
    <rPh sb="4" eb="6">
      <t>シエン</t>
    </rPh>
    <rPh sb="6" eb="7">
      <t>キン</t>
    </rPh>
    <rPh sb="7" eb="8">
      <t>ブン</t>
    </rPh>
    <phoneticPr fontId="2"/>
  </si>
  <si>
    <t>介護納付金分</t>
    <rPh sb="0" eb="2">
      <t>カイゴ</t>
    </rPh>
    <rPh sb="2" eb="5">
      <t>ノウフキン</t>
    </rPh>
    <rPh sb="5" eb="6">
      <t>ブン</t>
    </rPh>
    <phoneticPr fontId="2"/>
  </si>
  <si>
    <t>18歳以下に該当</t>
    <rPh sb="2" eb="3">
      <t>サイ</t>
    </rPh>
    <rPh sb="3" eb="5">
      <t>イカ</t>
    </rPh>
    <rPh sb="6" eb="8">
      <t>ガイトウ</t>
    </rPh>
    <phoneticPr fontId="2"/>
  </si>
  <si>
    <t>①入力１について、世帯主の方が国民健康保険に加入するか、はい・いいえでリストから入力してください。</t>
    <rPh sb="1" eb="3">
      <t>ニュウリョク</t>
    </rPh>
    <rPh sb="9" eb="12">
      <t>セタイヌシ</t>
    </rPh>
    <rPh sb="13" eb="14">
      <t>カタ</t>
    </rPh>
    <rPh sb="15" eb="17">
      <t>コクミン</t>
    </rPh>
    <rPh sb="17" eb="19">
      <t>ケンコウ</t>
    </rPh>
    <rPh sb="19" eb="21">
      <t>ホケン</t>
    </rPh>
    <rPh sb="22" eb="24">
      <t>カニュウ</t>
    </rPh>
    <rPh sb="40" eb="42">
      <t>ニュウリョク</t>
    </rPh>
    <phoneticPr fontId="2"/>
  </si>
  <si>
    <t>②入力２について、世帯主と国民健康保険に加入する人全員の年齢・給与収入・年金収入・その他の所得を入力してください。</t>
    <rPh sb="1" eb="3">
      <t>ニュウリョク</t>
    </rPh>
    <rPh sb="9" eb="12">
      <t>セタイヌシ</t>
    </rPh>
    <rPh sb="13" eb="15">
      <t>コクミン</t>
    </rPh>
    <rPh sb="15" eb="17">
      <t>ケンコウ</t>
    </rPh>
    <rPh sb="17" eb="19">
      <t>ホケン</t>
    </rPh>
    <rPh sb="20" eb="22">
      <t>カニュウ</t>
    </rPh>
    <rPh sb="24" eb="25">
      <t>ヒト</t>
    </rPh>
    <rPh sb="25" eb="27">
      <t>ゼンイン</t>
    </rPh>
    <rPh sb="28" eb="30">
      <t>ネンレイ</t>
    </rPh>
    <rPh sb="31" eb="33">
      <t>キュウヨ</t>
    </rPh>
    <rPh sb="33" eb="35">
      <t>シュウニュウ</t>
    </rPh>
    <rPh sb="36" eb="38">
      <t>ネンキン</t>
    </rPh>
    <rPh sb="38" eb="40">
      <t>シュウニュウ</t>
    </rPh>
    <rPh sb="43" eb="44">
      <t>タ</t>
    </rPh>
    <rPh sb="45" eb="47">
      <t>ショトク</t>
    </rPh>
    <rPh sb="48" eb="50">
      <t>ニュウリョク</t>
    </rPh>
    <phoneticPr fontId="2"/>
  </si>
  <si>
    <t>世帯主</t>
    <rPh sb="0" eb="3">
      <t>セタイヌシ</t>
    </rPh>
    <phoneticPr fontId="2"/>
  </si>
  <si>
    <t>はい</t>
    <phoneticPr fontId="2"/>
  </si>
  <si>
    <t>いいえ</t>
    <phoneticPr fontId="2"/>
  </si>
  <si>
    <t>はい</t>
  </si>
  <si>
    <t>均等割の軽減率</t>
    <rPh sb="0" eb="3">
      <t>キントウワ</t>
    </rPh>
    <rPh sb="4" eb="6">
      <t>ケイゲン</t>
    </rPh>
    <rPh sb="6" eb="7">
      <t>リツ</t>
    </rPh>
    <phoneticPr fontId="2"/>
  </si>
  <si>
    <t>〇世帯主・国保加入者に未申告者（18歳以上）がいる場合、軽減の該当であっても軽減が受けられませんので、申告をしてください。</t>
    <rPh sb="1" eb="4">
      <t>セタイヌシ</t>
    </rPh>
    <rPh sb="5" eb="7">
      <t>コクホ</t>
    </rPh>
    <rPh sb="7" eb="10">
      <t>カニュウシャ</t>
    </rPh>
    <rPh sb="11" eb="15">
      <t>ミシンコクシャ</t>
    </rPh>
    <rPh sb="18" eb="21">
      <t>サイイジョウ</t>
    </rPh>
    <rPh sb="25" eb="27">
      <t>バアイ</t>
    </rPh>
    <rPh sb="28" eb="30">
      <t>ケイゲン</t>
    </rPh>
    <rPh sb="31" eb="33">
      <t>ガイトウ</t>
    </rPh>
    <rPh sb="38" eb="40">
      <t>ケイゲン</t>
    </rPh>
    <rPh sb="41" eb="42">
      <t>ウ</t>
    </rPh>
    <rPh sb="51" eb="53">
      <t>シンコク</t>
    </rPh>
    <phoneticPr fontId="2"/>
  </si>
  <si>
    <t>〇分離課税所得、専従者給与・控除、純・雑損失の繰越控除がある場合、試算はできません。</t>
    <rPh sb="1" eb="3">
      <t>ブンリ</t>
    </rPh>
    <rPh sb="3" eb="5">
      <t>カゼイ</t>
    </rPh>
    <rPh sb="5" eb="7">
      <t>ショトク</t>
    </rPh>
    <rPh sb="8" eb="11">
      <t>センジュウシャ</t>
    </rPh>
    <rPh sb="11" eb="13">
      <t>キュウヨ</t>
    </rPh>
    <rPh sb="14" eb="16">
      <t>コウジョ</t>
    </rPh>
    <rPh sb="17" eb="18">
      <t>ジュン</t>
    </rPh>
    <rPh sb="19" eb="20">
      <t>ザツ</t>
    </rPh>
    <rPh sb="20" eb="22">
      <t>ソンシツ</t>
    </rPh>
    <rPh sb="23" eb="24">
      <t>ク</t>
    </rPh>
    <rPh sb="24" eb="25">
      <t>コ</t>
    </rPh>
    <rPh sb="25" eb="27">
      <t>コウジョ</t>
    </rPh>
    <rPh sb="30" eb="32">
      <t>バアイ</t>
    </rPh>
    <rPh sb="33" eb="35">
      <t>シサン</t>
    </rPh>
    <phoneticPr fontId="2"/>
  </si>
  <si>
    <t>子ども・子育て分</t>
    <rPh sb="0" eb="1">
      <t>コ</t>
    </rPh>
    <rPh sb="4" eb="6">
      <t>コソダ</t>
    </rPh>
    <rPh sb="7" eb="8">
      <t>ブン</t>
    </rPh>
    <phoneticPr fontId="2"/>
  </si>
  <si>
    <t>≪令和8年度結城市国民健康保険税試算表≫</t>
    <rPh sb="1" eb="3">
      <t>レイワ</t>
    </rPh>
    <rPh sb="4" eb="6">
      <t>ネンド</t>
    </rPh>
    <rPh sb="5" eb="6">
      <t>ド</t>
    </rPh>
    <rPh sb="6" eb="9">
      <t>ユウキシ</t>
    </rPh>
    <rPh sb="9" eb="11">
      <t>コクミン</t>
    </rPh>
    <rPh sb="11" eb="13">
      <t>ケンコウ</t>
    </rPh>
    <rPh sb="13" eb="15">
      <t>ホケン</t>
    </rPh>
    <rPh sb="15" eb="16">
      <t>ゼイ</t>
    </rPh>
    <rPh sb="16" eb="18">
      <t>シサン</t>
    </rPh>
    <rPh sb="18" eb="19">
      <t>ヒョウ</t>
    </rPh>
    <phoneticPr fontId="2"/>
  </si>
  <si>
    <t>子ども・子育て支援金分</t>
    <rPh sb="0" eb="1">
      <t>コ</t>
    </rPh>
    <rPh sb="4" eb="6">
      <t>コソダ</t>
    </rPh>
    <rPh sb="7" eb="9">
      <t>シエン</t>
    </rPh>
    <rPh sb="9" eb="10">
      <t>キン</t>
    </rPh>
    <rPh sb="10" eb="11">
      <t>ブン</t>
    </rPh>
    <phoneticPr fontId="2"/>
  </si>
  <si>
    <t>子ども・子育て支援金分課税人数</t>
    <rPh sb="0" eb="1">
      <t>コ</t>
    </rPh>
    <rPh sb="4" eb="6">
      <t>コソダ</t>
    </rPh>
    <rPh sb="7" eb="10">
      <t>シエンキン</t>
    </rPh>
    <rPh sb="10" eb="11">
      <t>ブン</t>
    </rPh>
    <rPh sb="11" eb="13">
      <t>カゼイ</t>
    </rPh>
    <rPh sb="13" eb="15">
      <t>ニンズウ</t>
    </rPh>
    <phoneticPr fontId="2"/>
  </si>
  <si>
    <t>子ども・子育て支援分</t>
    <rPh sb="0" eb="1">
      <t>コ</t>
    </rPh>
    <rPh sb="4" eb="6">
      <t>コソダ</t>
    </rPh>
    <rPh sb="7" eb="9">
      <t>シエン</t>
    </rPh>
    <rPh sb="9" eb="10">
      <t>シブン</t>
    </rPh>
    <phoneticPr fontId="2"/>
  </si>
  <si>
    <t>子ども・子育て支援分</t>
    <rPh sb="0" eb="1">
      <t>コ</t>
    </rPh>
    <rPh sb="4" eb="6">
      <t>コソダ</t>
    </rPh>
    <rPh sb="7" eb="9">
      <t>シエン</t>
    </rPh>
    <rPh sb="9" eb="10">
      <t>ブン</t>
    </rPh>
    <phoneticPr fontId="2"/>
  </si>
  <si>
    <t>18歳以上子ども・子育て分</t>
    <rPh sb="2" eb="5">
      <t>サイイジョウ</t>
    </rPh>
    <rPh sb="5" eb="6">
      <t>コ</t>
    </rPh>
    <rPh sb="9" eb="11">
      <t>コソダ</t>
    </rPh>
    <rPh sb="12" eb="13">
      <t>ブン</t>
    </rPh>
    <phoneticPr fontId="2"/>
  </si>
  <si>
    <t>18歳以上子ども・子育て支援分</t>
    <rPh sb="2" eb="3">
      <t>サイ</t>
    </rPh>
    <rPh sb="3" eb="5">
      <t>イジョウ</t>
    </rPh>
    <rPh sb="5" eb="6">
      <t>コ</t>
    </rPh>
    <rPh sb="9" eb="11">
      <t>コソダ</t>
    </rPh>
    <rPh sb="12" eb="14">
      <t>シエン</t>
    </rPh>
    <rPh sb="14" eb="15">
      <t>シブン</t>
    </rPh>
    <phoneticPr fontId="2"/>
  </si>
  <si>
    <t>合計額（年額）</t>
    <rPh sb="0" eb="2">
      <t>ゴウケイ</t>
    </rPh>
    <rPh sb="2" eb="3">
      <t>ガク</t>
    </rPh>
    <rPh sb="4" eb="6">
      <t>ネンガク</t>
    </rPh>
    <phoneticPr fontId="2"/>
  </si>
  <si>
    <t>合計額（月額）</t>
    <rPh sb="0" eb="2">
      <t>ゴウケイ</t>
    </rPh>
    <rPh sb="2" eb="3">
      <t>ガク</t>
    </rPh>
    <rPh sb="4" eb="6">
      <t>ゲツガク</t>
    </rPh>
    <phoneticPr fontId="2"/>
  </si>
  <si>
    <t>18歳以上均等割</t>
    <rPh sb="2" eb="5">
      <t>サイイジョウ</t>
    </rPh>
    <rPh sb="5" eb="7">
      <t>キントウ</t>
    </rPh>
    <rPh sb="7" eb="8">
      <t>ワ</t>
    </rPh>
    <phoneticPr fontId="2"/>
  </si>
  <si>
    <t>1900000以下</t>
    <rPh sb="7" eb="9">
      <t>イカ</t>
    </rPh>
    <phoneticPr fontId="2"/>
  </si>
  <si>
    <t>期別額（1期）</t>
    <rPh sb="0" eb="1">
      <t>キ</t>
    </rPh>
    <rPh sb="1" eb="2">
      <t>ベツ</t>
    </rPh>
    <rPh sb="2" eb="3">
      <t>ガク</t>
    </rPh>
    <rPh sb="5" eb="6">
      <t>キ</t>
    </rPh>
    <phoneticPr fontId="2"/>
  </si>
  <si>
    <t>期別額（2～8期）</t>
    <rPh sb="0" eb="1">
      <t>キ</t>
    </rPh>
    <rPh sb="1" eb="2">
      <t>ベツ</t>
    </rPh>
    <rPh sb="2" eb="3">
      <t>ガク</t>
    </rPh>
    <rPh sb="7" eb="8">
      <t>キ</t>
    </rPh>
    <phoneticPr fontId="2"/>
  </si>
  <si>
    <t xml:space="preserve"> 結城市役所市民生活部</t>
    <phoneticPr fontId="2"/>
  </si>
  <si>
    <t xml:space="preserve"> 保険年金課　保険税係</t>
    <phoneticPr fontId="2"/>
  </si>
  <si>
    <t xml:space="preserve"> 電話 32-1111 内線1106・1107</t>
    <phoneticPr fontId="2"/>
  </si>
  <si>
    <t>介護分</t>
    <rPh sb="0" eb="1">
      <t>スケ</t>
    </rPh>
    <rPh sb="1" eb="2">
      <t>ユズル</t>
    </rPh>
    <rPh sb="2" eb="3">
      <t>ブン</t>
    </rPh>
    <phoneticPr fontId="2"/>
  </si>
  <si>
    <t>失業の
有無</t>
    <rPh sb="0" eb="2">
      <t>シツギョウ</t>
    </rPh>
    <rPh sb="4" eb="6">
      <t>ウム</t>
    </rPh>
    <phoneticPr fontId="2"/>
  </si>
  <si>
    <t>主・員
区分</t>
    <rPh sb="0" eb="1">
      <t>ヌシ</t>
    </rPh>
    <rPh sb="2" eb="3">
      <t>イン</t>
    </rPh>
    <rPh sb="4" eb="6">
      <t>クブン</t>
    </rPh>
    <phoneticPr fontId="2"/>
  </si>
  <si>
    <t>18歳
未満</t>
    <rPh sb="2" eb="3">
      <t>サイ</t>
    </rPh>
    <rPh sb="4" eb="6">
      <t>ミマン</t>
    </rPh>
    <phoneticPr fontId="2"/>
  </si>
  <si>
    <t>給与</t>
    <rPh sb="0" eb="1">
      <t>キュウ</t>
    </rPh>
    <rPh sb="1" eb="2">
      <t>アタエ</t>
    </rPh>
    <phoneticPr fontId="2"/>
  </si>
  <si>
    <t>年金</t>
    <rPh sb="0" eb="1">
      <t>トシ</t>
    </rPh>
    <rPh sb="1" eb="2">
      <t>キン</t>
    </rPh>
    <phoneticPr fontId="2"/>
  </si>
  <si>
    <t>軽減判定
基準総所得</t>
    <rPh sb="0" eb="2">
      <t>ケイゲン</t>
    </rPh>
    <rPh sb="2" eb="4">
      <t>ハンテイ</t>
    </rPh>
    <phoneticPr fontId="2"/>
  </si>
  <si>
    <t>年金特別
控除</t>
    <rPh sb="0" eb="2">
      <t>ネンキン</t>
    </rPh>
    <rPh sb="2" eb="4">
      <t>トクベツ</t>
    </rPh>
    <rPh sb="5" eb="7">
      <t>コウジョ</t>
    </rPh>
    <phoneticPr fontId="2"/>
  </si>
  <si>
    <t>給与・年金
所得あり</t>
    <phoneticPr fontId="2"/>
  </si>
  <si>
    <t>〇1年間の保険税の試算です。</t>
    <rPh sb="2" eb="4">
      <t>ネンカン</t>
    </rPh>
    <rPh sb="5" eb="8">
      <t>ホケンゼイ</t>
    </rPh>
    <rPh sb="9" eb="11">
      <t>シサン</t>
    </rPh>
    <phoneticPr fontId="2"/>
  </si>
  <si>
    <t>〇年度の途中に加入・脱退する方がいる場合、もしくは、40歳・65歳になる方がいる場合、月割での計算が必要になります。</t>
    <phoneticPr fontId="2"/>
  </si>
  <si>
    <t>1900000以上</t>
    <rPh sb="7" eb="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</si>
</sst>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_ "/>
    <numFmt numFmtId="179" formatCode="0.00_ "/>
    <numFmt numFmtId="180" formatCode="0.0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b/>
      <sz val="14"/>
      <name val="ＭＳ Ｐゴシック"/>
      <family val="3"/>
      <charset val="128"/>
    </font>
    <font>
      <b/>
      <sz val="16"/>
      <name val="ＭＳ Ｐゴシック"/>
      <family val="3"/>
      <charset val="128"/>
    </font>
    <font>
      <b/>
      <sz val="12"/>
      <name val="ＭＳ Ｐゴシック"/>
      <family val="3"/>
      <charset val="128"/>
    </font>
    <font>
      <b/>
      <sz val="10"/>
      <name val="ＭＳ Ｐゴシック"/>
      <family val="3"/>
      <charset val="128"/>
    </font>
    <font>
      <b/>
      <sz val="22"/>
      <name val="ＭＳ Ｐゴシック"/>
      <family val="3"/>
      <charset val="128"/>
    </font>
    <font>
      <sz val="12"/>
      <name val="ＭＳ Ｐゴシック"/>
      <family val="3"/>
      <charset val="128"/>
    </font>
    <font>
      <sz val="24"/>
      <name val="ＭＳ Ｐゴシック"/>
      <family val="3"/>
      <charset val="128"/>
    </font>
  </fonts>
  <fills count="2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indexed="44"/>
        <bgColor indexed="64"/>
      </patternFill>
    </fill>
    <fill>
      <patternFill patternType="solid">
        <fgColor indexed="50"/>
        <bgColor indexed="64"/>
      </patternFill>
    </fill>
    <fill>
      <patternFill patternType="solid">
        <fgColor indexed="51"/>
        <bgColor indexed="64"/>
      </patternFill>
    </fill>
    <fill>
      <patternFill patternType="solid">
        <fgColor indexed="11"/>
        <bgColor indexed="64"/>
      </patternFill>
    </fill>
    <fill>
      <patternFill patternType="solid">
        <fgColor rgb="FFCC99FF"/>
        <bgColor indexed="64"/>
      </patternFill>
    </fill>
    <fill>
      <patternFill patternType="solid">
        <fgColor rgb="FFFFCC99"/>
        <bgColor indexed="64"/>
      </patternFill>
    </fill>
    <fill>
      <patternFill patternType="solid">
        <fgColor rgb="FFCCFFCC"/>
        <bgColor indexed="64"/>
      </patternFill>
    </fill>
    <fill>
      <patternFill patternType="solid">
        <fgColor rgb="FFFFCC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00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450">
    <xf numFmtId="0" fontId="0" fillId="0" borderId="0" xfId="0"/>
    <xf numFmtId="0" fontId="0" fillId="0" borderId="2"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177" fontId="0" fillId="0" borderId="3" xfId="0" applyNumberFormat="1" applyBorder="1"/>
    <xf numFmtId="177" fontId="0" fillId="0" borderId="8" xfId="0" applyNumberFormat="1" applyBorder="1"/>
    <xf numFmtId="177" fontId="0" fillId="0" borderId="6" xfId="0" applyNumberFormat="1" applyBorder="1"/>
    <xf numFmtId="176" fontId="0" fillId="0" borderId="0" xfId="0" applyNumberFormat="1"/>
    <xf numFmtId="176" fontId="0" fillId="0" borderId="3" xfId="0" applyNumberFormat="1" applyBorder="1"/>
    <xf numFmtId="0" fontId="0" fillId="2" borderId="1" xfId="0" applyFill="1" applyBorder="1"/>
    <xf numFmtId="38" fontId="0" fillId="2" borderId="1" xfId="1" applyFont="1" applyFill="1" applyBorder="1"/>
    <xf numFmtId="0" fontId="0" fillId="2" borderId="1" xfId="0" applyFill="1" applyBorder="1" applyAlignment="1">
      <alignment horizontal="center" wrapText="1"/>
    </xf>
    <xf numFmtId="0" fontId="0" fillId="2" borderId="10" xfId="0" applyFill="1" applyBorder="1"/>
    <xf numFmtId="0" fontId="0" fillId="3" borderId="5" xfId="0" applyFill="1" applyBorder="1"/>
    <xf numFmtId="0" fontId="0" fillId="4" borderId="1" xfId="0" applyFill="1" applyBorder="1"/>
    <xf numFmtId="0" fontId="0" fillId="4" borderId="1" xfId="0" applyFill="1" applyBorder="1" applyAlignment="1">
      <alignment wrapText="1"/>
    </xf>
    <xf numFmtId="0" fontId="0" fillId="0" borderId="0" xfId="0" applyBorder="1"/>
    <xf numFmtId="0" fontId="0" fillId="3" borderId="1" xfId="0" applyFill="1" applyBorder="1" applyAlignment="1">
      <alignment horizontal="center" wrapText="1"/>
    </xf>
    <xf numFmtId="0" fontId="0" fillId="3" borderId="1" xfId="0" applyFill="1" applyBorder="1"/>
    <xf numFmtId="38" fontId="0" fillId="0" borderId="0" xfId="0" applyNumberFormat="1" applyBorder="1"/>
    <xf numFmtId="38" fontId="0" fillId="0" borderId="0" xfId="1" applyFont="1" applyBorder="1"/>
    <xf numFmtId="0" fontId="0" fillId="0" borderId="0" xfId="0" applyFill="1" applyBorder="1"/>
    <xf numFmtId="38" fontId="0" fillId="3" borderId="1" xfId="1" applyFont="1" applyFill="1" applyBorder="1"/>
    <xf numFmtId="0" fontId="0" fillId="2" borderId="14" xfId="0" applyFill="1" applyBorder="1"/>
    <xf numFmtId="38" fontId="0" fillId="2" borderId="16" xfId="1" applyFont="1" applyFill="1" applyBorder="1"/>
    <xf numFmtId="0" fontId="0" fillId="2" borderId="11" xfId="0" applyFill="1" applyBorder="1"/>
    <xf numFmtId="38" fontId="0" fillId="2" borderId="18" xfId="1" applyFont="1" applyFill="1" applyBorder="1"/>
    <xf numFmtId="0" fontId="0" fillId="2" borderId="18" xfId="0" applyFill="1" applyBorder="1"/>
    <xf numFmtId="0" fontId="0" fillId="2" borderId="12" xfId="0" applyFill="1" applyBorder="1"/>
    <xf numFmtId="38" fontId="0" fillId="2" borderId="17" xfId="0" applyNumberFormat="1" applyFill="1" applyBorder="1"/>
    <xf numFmtId="0" fontId="0" fillId="5" borderId="14" xfId="0" applyFill="1" applyBorder="1"/>
    <xf numFmtId="0" fontId="0" fillId="5" borderId="12" xfId="0" applyFill="1" applyBorder="1"/>
    <xf numFmtId="0" fontId="0" fillId="5" borderId="11" xfId="0" applyFill="1" applyBorder="1"/>
    <xf numFmtId="38" fontId="0" fillId="5" borderId="18" xfId="1" applyFont="1" applyFill="1" applyBorder="1"/>
    <xf numFmtId="38" fontId="0" fillId="5" borderId="17" xfId="1" applyFont="1" applyFill="1" applyBorder="1"/>
    <xf numFmtId="38" fontId="0" fillId="5" borderId="16" xfId="1" applyFont="1" applyFill="1" applyBorder="1"/>
    <xf numFmtId="0" fontId="4" fillId="0" borderId="0" xfId="0" applyFont="1"/>
    <xf numFmtId="0" fontId="0" fillId="0" borderId="0" xfId="0" applyFill="1" applyBorder="1" applyAlignment="1">
      <alignment horizontal="center"/>
    </xf>
    <xf numFmtId="0" fontId="5" fillId="6" borderId="1" xfId="0" applyFont="1" applyFill="1" applyBorder="1"/>
    <xf numFmtId="0" fontId="5" fillId="0" borderId="0" xfId="0" applyFont="1" applyFill="1" applyBorder="1"/>
    <xf numFmtId="0" fontId="0" fillId="6" borderId="1" xfId="0" applyFill="1" applyBorder="1"/>
    <xf numFmtId="0" fontId="0" fillId="2" borderId="22" xfId="0" applyFill="1" applyBorder="1"/>
    <xf numFmtId="38" fontId="0" fillId="0" borderId="0" xfId="0" applyNumberFormat="1" applyFill="1" applyBorder="1" applyAlignment="1">
      <alignment horizontal="right"/>
    </xf>
    <xf numFmtId="0" fontId="0" fillId="0" borderId="0" xfId="0" applyFill="1" applyBorder="1" applyAlignment="1">
      <alignment horizontal="right"/>
    </xf>
    <xf numFmtId="0" fontId="0" fillId="0" borderId="0" xfId="0" applyBorder="1" applyAlignment="1">
      <alignment horizontal="center"/>
    </xf>
    <xf numFmtId="38" fontId="0" fillId="0" borderId="0" xfId="0" applyNumberFormat="1" applyBorder="1" applyAlignment="1">
      <alignment horizontal="right"/>
    </xf>
    <xf numFmtId="0" fontId="0" fillId="0" borderId="0" xfId="0" applyBorder="1" applyAlignment="1">
      <alignment horizontal="right"/>
    </xf>
    <xf numFmtId="38" fontId="0" fillId="0" borderId="0" xfId="1" applyFont="1"/>
    <xf numFmtId="0" fontId="4" fillId="0" borderId="0" xfId="0" applyFont="1" applyBorder="1"/>
    <xf numFmtId="0" fontId="4" fillId="0" borderId="0" xfId="0" applyFont="1" applyBorder="1" applyAlignment="1">
      <alignment horizontal="center"/>
    </xf>
    <xf numFmtId="0" fontId="0" fillId="0" borderId="0" xfId="0" applyBorder="1" applyAlignment="1">
      <alignment horizontal="left"/>
    </xf>
    <xf numFmtId="0" fontId="4" fillId="0" borderId="0" xfId="0" applyFont="1" applyBorder="1" applyAlignment="1">
      <alignment horizontal="right"/>
    </xf>
    <xf numFmtId="0" fontId="0" fillId="4" borderId="0" xfId="0" applyFill="1"/>
    <xf numFmtId="0" fontId="7" fillId="0" borderId="0" xfId="0" applyFont="1"/>
    <xf numFmtId="0" fontId="0" fillId="2" borderId="4" xfId="0" applyFill="1" applyBorder="1"/>
    <xf numFmtId="0" fontId="0" fillId="2" borderId="20" xfId="0" applyFill="1" applyBorder="1"/>
    <xf numFmtId="0" fontId="0" fillId="2" borderId="32" xfId="0" applyFill="1" applyBorder="1"/>
    <xf numFmtId="0" fontId="0" fillId="2" borderId="19" xfId="0" applyFill="1" applyBorder="1"/>
    <xf numFmtId="0" fontId="0" fillId="8" borderId="1" xfId="0" applyFill="1" applyBorder="1" applyAlignment="1">
      <alignment horizontal="center" wrapText="1"/>
    </xf>
    <xf numFmtId="38" fontId="0" fillId="8" borderId="1" xfId="1" applyFont="1" applyFill="1" applyBorder="1"/>
    <xf numFmtId="0" fontId="0" fillId="8" borderId="13" xfId="0" applyFill="1" applyBorder="1" applyAlignment="1">
      <alignment horizontal="center" wrapText="1"/>
    </xf>
    <xf numFmtId="38" fontId="0" fillId="8" borderId="13" xfId="1" applyFont="1" applyFill="1" applyBorder="1"/>
    <xf numFmtId="0" fontId="0" fillId="7" borderId="1" xfId="0" applyFill="1" applyBorder="1" applyAlignment="1">
      <alignment horizontal="center"/>
    </xf>
    <xf numFmtId="0" fontId="8" fillId="0" borderId="0" xfId="0" applyFont="1"/>
    <xf numFmtId="0" fontId="0" fillId="0" borderId="34" xfId="0" applyBorder="1"/>
    <xf numFmtId="0" fontId="0" fillId="2" borderId="36" xfId="0" applyFill="1" applyBorder="1"/>
    <xf numFmtId="0" fontId="9" fillId="0" borderId="40" xfId="0" applyFont="1" applyBorder="1"/>
    <xf numFmtId="0" fontId="9" fillId="0" borderId="41" xfId="0" applyFont="1" applyBorder="1" applyAlignment="1">
      <alignment horizontal="center"/>
    </xf>
    <xf numFmtId="0" fontId="9" fillId="0" borderId="42" xfId="0" applyFont="1" applyBorder="1"/>
    <xf numFmtId="0" fontId="10" fillId="0" borderId="0" xfId="0" applyFont="1"/>
    <xf numFmtId="0" fontId="9" fillId="0" borderId="0" xfId="0" applyFont="1"/>
    <xf numFmtId="0" fontId="1" fillId="0" borderId="0" xfId="0" applyFont="1" applyFill="1" applyBorder="1" applyAlignment="1" applyProtection="1">
      <alignment horizontal="right"/>
      <protection locked="0"/>
    </xf>
    <xf numFmtId="0" fontId="11" fillId="0" borderId="0" xfId="0" applyFont="1"/>
    <xf numFmtId="0" fontId="12" fillId="0" borderId="0" xfId="0" applyFont="1"/>
    <xf numFmtId="38" fontId="0" fillId="9" borderId="20" xfId="1" applyFont="1" applyFill="1" applyBorder="1" applyAlignment="1">
      <alignment horizontal="right"/>
    </xf>
    <xf numFmtId="0" fontId="1" fillId="0" borderId="35" xfId="0" applyFont="1" applyBorder="1" applyAlignment="1"/>
    <xf numFmtId="0" fontId="1" fillId="0" borderId="0" xfId="0" applyFont="1" applyBorder="1" applyAlignment="1"/>
    <xf numFmtId="0" fontId="0" fillId="8" borderId="9" xfId="0" applyFill="1" applyBorder="1" applyAlignment="1">
      <alignment horizontal="center" wrapText="1"/>
    </xf>
    <xf numFmtId="38" fontId="0" fillId="8" borderId="9" xfId="1" applyFont="1" applyFill="1" applyBorder="1"/>
    <xf numFmtId="177" fontId="0" fillId="0" borderId="0" xfId="0" applyNumberFormat="1"/>
    <xf numFmtId="177" fontId="0" fillId="0" borderId="1" xfId="0" applyNumberFormat="1" applyFill="1" applyBorder="1"/>
    <xf numFmtId="0" fontId="0" fillId="0" borderId="0" xfId="0" applyFont="1" applyBorder="1" applyAlignment="1">
      <alignment horizontal="left"/>
    </xf>
    <xf numFmtId="0" fontId="0" fillId="0" borderId="1" xfId="0" applyBorder="1"/>
    <xf numFmtId="0" fontId="0" fillId="4" borderId="38" xfId="0" applyFill="1" applyBorder="1"/>
    <xf numFmtId="38" fontId="0" fillId="5" borderId="16" xfId="1" applyFont="1" applyFill="1" applyBorder="1" applyAlignment="1">
      <alignment horizontal="right"/>
    </xf>
    <xf numFmtId="0" fontId="0" fillId="6" borderId="1" xfId="0" applyFill="1" applyBorder="1" applyAlignment="1">
      <alignment horizontal="center" wrapText="1"/>
    </xf>
    <xf numFmtId="0" fontId="0" fillId="7" borderId="6" xfId="0" applyFill="1" applyBorder="1"/>
    <xf numFmtId="38" fontId="0" fillId="7" borderId="1" xfId="1" applyFont="1" applyFill="1" applyBorder="1"/>
    <xf numFmtId="0" fontId="5" fillId="7" borderId="10" xfId="0" applyFont="1" applyFill="1" applyBorder="1"/>
    <xf numFmtId="38" fontId="0" fillId="2" borderId="1" xfId="0" applyNumberFormat="1" applyFill="1" applyBorder="1"/>
    <xf numFmtId="0" fontId="1" fillId="0" borderId="0" xfId="0" applyFont="1" applyBorder="1" applyAlignment="1">
      <alignment horizontal="left"/>
    </xf>
    <xf numFmtId="0" fontId="0" fillId="2" borderId="1" xfId="0" applyFill="1" applyBorder="1" applyAlignment="1">
      <alignment horizontal="center"/>
    </xf>
    <xf numFmtId="38" fontId="0" fillId="2" borderId="20" xfId="1" applyFont="1" applyFill="1" applyBorder="1" applyAlignment="1">
      <alignment horizontal="right"/>
    </xf>
    <xf numFmtId="0" fontId="0" fillId="0" borderId="0" xfId="0" applyFill="1" applyBorder="1" applyAlignment="1">
      <alignment horizontal="left" vertical="center"/>
    </xf>
    <xf numFmtId="0" fontId="0" fillId="0" borderId="0" xfId="0" applyFill="1" applyBorder="1" applyAlignment="1">
      <alignment horizontal="left"/>
    </xf>
    <xf numFmtId="0" fontId="0" fillId="0" borderId="0" xfId="0" applyFill="1" applyBorder="1" applyAlignment="1"/>
    <xf numFmtId="38" fontId="0" fillId="0" borderId="0" xfId="1" applyFont="1" applyFill="1" applyBorder="1" applyAlignment="1">
      <alignment horizontal="right"/>
    </xf>
    <xf numFmtId="0" fontId="0" fillId="0" borderId="25" xfId="0" applyFill="1" applyBorder="1" applyAlignment="1"/>
    <xf numFmtId="38" fontId="0" fillId="0" borderId="0" xfId="0" applyNumberFormat="1" applyFill="1" applyBorder="1"/>
    <xf numFmtId="38" fontId="0" fillId="0" borderId="0" xfId="1" applyFont="1" applyFill="1" applyBorder="1"/>
    <xf numFmtId="0" fontId="0" fillId="0" borderId="34" xfId="0" applyFill="1" applyBorder="1"/>
    <xf numFmtId="38" fontId="0" fillId="0" borderId="34" xfId="1" applyFont="1" applyFill="1" applyBorder="1"/>
    <xf numFmtId="38" fontId="0" fillId="0" borderId="34" xfId="0" applyNumberFormat="1" applyFill="1" applyBorder="1"/>
    <xf numFmtId="0" fontId="0" fillId="0" borderId="19" xfId="0" applyFill="1" applyBorder="1" applyAlignment="1">
      <alignment horizontal="center"/>
    </xf>
    <xf numFmtId="38" fontId="0" fillId="0" borderId="19" xfId="1" applyFont="1" applyFill="1" applyBorder="1"/>
    <xf numFmtId="0" fontId="0" fillId="14" borderId="1" xfId="0" applyFill="1" applyBorder="1"/>
    <xf numFmtId="0" fontId="0" fillId="0" borderId="43" xfId="0" applyBorder="1"/>
    <xf numFmtId="0" fontId="0" fillId="0" borderId="42" xfId="0" applyBorder="1"/>
    <xf numFmtId="0" fontId="0" fillId="0" borderId="40" xfId="0" applyBorder="1"/>
    <xf numFmtId="0" fontId="0" fillId="0" borderId="44" xfId="0" applyBorder="1"/>
    <xf numFmtId="38" fontId="0" fillId="2" borderId="20" xfId="1" applyFont="1" applyFill="1" applyBorder="1" applyAlignment="1">
      <alignment horizontal="right"/>
    </xf>
    <xf numFmtId="0" fontId="0" fillId="6" borderId="1" xfId="0" applyFill="1" applyBorder="1" applyAlignment="1">
      <alignment horizontal="center"/>
    </xf>
    <xf numFmtId="0" fontId="0" fillId="0" borderId="0" xfId="0"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38" fontId="4" fillId="0" borderId="20" xfId="0" applyNumberFormat="1" applyFont="1" applyBorder="1" applyAlignment="1" applyProtection="1">
      <alignment vertical="center"/>
    </xf>
    <xf numFmtId="0" fontId="4" fillId="0" borderId="4" xfId="0" applyFont="1" applyBorder="1" applyAlignment="1" applyProtection="1">
      <alignment vertical="center"/>
    </xf>
    <xf numFmtId="38" fontId="0" fillId="15" borderId="10" xfId="1" applyFont="1" applyFill="1" applyBorder="1" applyAlignment="1" applyProtection="1">
      <alignment horizontal="center" vertical="center"/>
      <protection locked="0"/>
    </xf>
    <xf numFmtId="38" fontId="0" fillId="15" borderId="1" xfId="1" applyFont="1" applyFill="1" applyBorder="1" applyAlignment="1" applyProtection="1">
      <alignment horizontal="center" vertical="center"/>
      <protection locked="0"/>
    </xf>
    <xf numFmtId="0" fontId="0" fillId="0" borderId="29" xfId="0" applyBorder="1"/>
    <xf numFmtId="0" fontId="0" fillId="0" borderId="26" xfId="0" applyFill="1" applyBorder="1" applyAlignment="1"/>
    <xf numFmtId="0" fontId="0" fillId="2" borderId="27" xfId="0" applyFill="1" applyBorder="1"/>
    <xf numFmtId="0" fontId="0" fillId="0" borderId="57" xfId="0" applyFill="1" applyBorder="1" applyAlignment="1">
      <alignment horizontal="center"/>
    </xf>
    <xf numFmtId="0" fontId="0" fillId="17" borderId="1" xfId="0" applyFill="1" applyBorder="1" applyAlignment="1">
      <alignment horizontal="center" wrapText="1"/>
    </xf>
    <xf numFmtId="38" fontId="0" fillId="17" borderId="1" xfId="1" applyFont="1" applyFill="1" applyBorder="1"/>
    <xf numFmtId="0" fontId="0" fillId="17" borderId="13" xfId="0" applyFill="1" applyBorder="1" applyAlignment="1">
      <alignment horizontal="center" wrapText="1"/>
    </xf>
    <xf numFmtId="38" fontId="0" fillId="17" borderId="13" xfId="1" applyFont="1" applyFill="1" applyBorder="1"/>
    <xf numFmtId="179" fontId="0" fillId="0" borderId="0" xfId="0" applyNumberFormat="1" applyFill="1" applyBorder="1" applyProtection="1"/>
    <xf numFmtId="0" fontId="0" fillId="3" borderId="15" xfId="0" applyFill="1" applyBorder="1" applyAlignment="1">
      <alignment horizontal="center"/>
    </xf>
    <xf numFmtId="38" fontId="0" fillId="11" borderId="15" xfId="1" applyFont="1" applyFill="1" applyBorder="1" applyProtection="1"/>
    <xf numFmtId="179" fontId="0" fillId="3" borderId="16" xfId="0" applyNumberFormat="1" applyFill="1" applyBorder="1" applyProtection="1"/>
    <xf numFmtId="178" fontId="0" fillId="3" borderId="18" xfId="0" applyNumberFormat="1" applyFill="1" applyBorder="1" applyAlignment="1">
      <alignment horizontal="center"/>
    </xf>
    <xf numFmtId="0" fontId="0" fillId="3" borderId="13" xfId="0" applyFill="1" applyBorder="1" applyAlignment="1">
      <alignment horizontal="center" wrapText="1"/>
    </xf>
    <xf numFmtId="38" fontId="0" fillId="3" borderId="13" xfId="1" applyFont="1" applyFill="1" applyBorder="1"/>
    <xf numFmtId="178" fontId="0" fillId="3" borderId="17" xfId="0" applyNumberFormat="1" applyFill="1" applyBorder="1" applyAlignment="1">
      <alignment horizontal="center"/>
    </xf>
    <xf numFmtId="0" fontId="0" fillId="3" borderId="58" xfId="0" applyFill="1" applyBorder="1"/>
    <xf numFmtId="38" fontId="0" fillId="3" borderId="59" xfId="1" applyFont="1" applyFill="1" applyBorder="1"/>
    <xf numFmtId="38" fontId="0" fillId="3" borderId="61" xfId="1" applyFont="1" applyFill="1" applyBorder="1"/>
    <xf numFmtId="38" fontId="0" fillId="3" borderId="60" xfId="0" applyNumberFormat="1" applyFill="1" applyBorder="1"/>
    <xf numFmtId="38" fontId="0" fillId="3" borderId="58" xfId="0" applyNumberFormat="1" applyFill="1" applyBorder="1"/>
    <xf numFmtId="38" fontId="0" fillId="3" borderId="59" xfId="0" applyNumberFormat="1" applyFill="1" applyBorder="1"/>
    <xf numFmtId="38" fontId="0" fillId="3" borderId="60" xfId="1" applyFont="1" applyFill="1" applyBorder="1"/>
    <xf numFmtId="178" fontId="0" fillId="0" borderId="0" xfId="0" applyNumberFormat="1" applyFill="1" applyBorder="1" applyAlignment="1">
      <alignment horizontal="center"/>
    </xf>
    <xf numFmtId="0" fontId="0" fillId="2" borderId="15" xfId="0" applyFill="1" applyBorder="1" applyAlignment="1">
      <alignment horizontal="center" wrapText="1"/>
    </xf>
    <xf numFmtId="38" fontId="0" fillId="12" borderId="15" xfId="1" applyFont="1" applyFill="1" applyBorder="1" applyProtection="1"/>
    <xf numFmtId="179" fontId="0" fillId="2" borderId="16" xfId="0" applyNumberFormat="1" applyFill="1" applyBorder="1" applyProtection="1"/>
    <xf numFmtId="0" fontId="0" fillId="2" borderId="18" xfId="0" applyFill="1" applyBorder="1" applyAlignment="1">
      <alignment horizontal="center"/>
    </xf>
    <xf numFmtId="0" fontId="0" fillId="2" borderId="13" xfId="0" applyFill="1" applyBorder="1" applyAlignment="1">
      <alignment horizontal="center" wrapText="1"/>
    </xf>
    <xf numFmtId="38" fontId="0" fillId="2" borderId="13" xfId="1" applyFont="1" applyFill="1" applyBorder="1"/>
    <xf numFmtId="0" fontId="0" fillId="2" borderId="17" xfId="0" applyFill="1" applyBorder="1" applyAlignment="1">
      <alignment horizontal="center"/>
    </xf>
    <xf numFmtId="0" fontId="0" fillId="2" borderId="58" xfId="0" applyFill="1" applyBorder="1"/>
    <xf numFmtId="38" fontId="0" fillId="2" borderId="59" xfId="1" applyFont="1" applyFill="1" applyBorder="1"/>
    <xf numFmtId="38" fontId="0" fillId="2" borderId="61" xfId="1" applyFont="1" applyFill="1" applyBorder="1"/>
    <xf numFmtId="38" fontId="0" fillId="2" borderId="60" xfId="0" applyNumberFormat="1" applyFill="1" applyBorder="1"/>
    <xf numFmtId="38" fontId="0" fillId="2" borderId="58" xfId="0" applyNumberFormat="1" applyFill="1" applyBorder="1"/>
    <xf numFmtId="38" fontId="0" fillId="2" borderId="59" xfId="0" applyNumberFormat="1" applyFill="1" applyBorder="1"/>
    <xf numFmtId="38" fontId="0" fillId="2" borderId="60" xfId="1" applyFont="1" applyFill="1" applyBorder="1"/>
    <xf numFmtId="0" fontId="0" fillId="8" borderId="15" xfId="0" applyFill="1" applyBorder="1" applyAlignment="1">
      <alignment horizontal="center"/>
    </xf>
    <xf numFmtId="38" fontId="0" fillId="13" borderId="15" xfId="1" applyFont="1" applyFill="1" applyBorder="1" applyProtection="1"/>
    <xf numFmtId="179" fontId="0" fillId="8" borderId="16" xfId="0" applyNumberFormat="1" applyFill="1" applyBorder="1" applyProtection="1"/>
    <xf numFmtId="0" fontId="0" fillId="8" borderId="18" xfId="0" applyFill="1" applyBorder="1" applyAlignment="1">
      <alignment horizontal="center"/>
    </xf>
    <xf numFmtId="0" fontId="0" fillId="8" borderId="17" xfId="0" applyFill="1" applyBorder="1" applyAlignment="1">
      <alignment horizontal="center"/>
    </xf>
    <xf numFmtId="0" fontId="0" fillId="8" borderId="58" xfId="0" applyFill="1" applyBorder="1"/>
    <xf numFmtId="38" fontId="0" fillId="13" borderId="59" xfId="1" applyFont="1" applyFill="1" applyBorder="1"/>
    <xf numFmtId="38" fontId="0" fillId="8" borderId="59" xfId="1" applyFont="1" applyFill="1" applyBorder="1"/>
    <xf numFmtId="38" fontId="0" fillId="8" borderId="61" xfId="1" applyFont="1" applyFill="1" applyBorder="1" applyAlignment="1">
      <alignment horizontal="right"/>
    </xf>
    <xf numFmtId="38" fontId="0" fillId="8" borderId="60" xfId="0" applyNumberFormat="1" applyFill="1" applyBorder="1"/>
    <xf numFmtId="38" fontId="0" fillId="13" borderId="58" xfId="0" applyNumberFormat="1" applyFill="1" applyBorder="1"/>
    <xf numFmtId="38" fontId="0" fillId="13" borderId="59" xfId="0" applyNumberFormat="1" applyFill="1" applyBorder="1"/>
    <xf numFmtId="38" fontId="0" fillId="13" borderId="60" xfId="1" applyFont="1" applyFill="1" applyBorder="1"/>
    <xf numFmtId="38" fontId="0" fillId="17" borderId="15" xfId="1" applyFont="1" applyFill="1" applyBorder="1" applyProtection="1"/>
    <xf numFmtId="179" fontId="0" fillId="17" borderId="16" xfId="0" applyNumberFormat="1" applyFill="1" applyBorder="1" applyProtection="1"/>
    <xf numFmtId="0" fontId="0" fillId="17" borderId="18" xfId="0" applyFill="1" applyBorder="1" applyAlignment="1">
      <alignment horizontal="center"/>
    </xf>
    <xf numFmtId="0" fontId="0" fillId="17" borderId="17" xfId="0" applyFill="1" applyBorder="1" applyAlignment="1">
      <alignment horizontal="center"/>
    </xf>
    <xf numFmtId="0" fontId="0" fillId="17" borderId="58" xfId="0" applyFill="1" applyBorder="1"/>
    <xf numFmtId="38" fontId="0" fillId="17" borderId="59" xfId="1" applyFont="1" applyFill="1" applyBorder="1"/>
    <xf numFmtId="38" fontId="0" fillId="17" borderId="60" xfId="0" applyNumberFormat="1" applyFill="1" applyBorder="1"/>
    <xf numFmtId="38" fontId="0" fillId="17" borderId="58" xfId="0" applyNumberFormat="1" applyFill="1" applyBorder="1"/>
    <xf numFmtId="38" fontId="0" fillId="17" borderId="59" xfId="0" applyNumberFormat="1" applyFill="1" applyBorder="1"/>
    <xf numFmtId="38" fontId="0" fillId="17" borderId="60" xfId="1" applyFont="1" applyFill="1" applyBorder="1"/>
    <xf numFmtId="0" fontId="0" fillId="17" borderId="15" xfId="0" applyFill="1" applyBorder="1" applyAlignment="1">
      <alignment horizontal="center" wrapText="1"/>
    </xf>
    <xf numFmtId="38" fontId="0" fillId="17" borderId="61" xfId="1" applyFont="1" applyFill="1" applyBorder="1"/>
    <xf numFmtId="0" fontId="0" fillId="4" borderId="59" xfId="0" applyFill="1" applyBorder="1" applyAlignment="1">
      <alignment horizontal="center" vertical="center"/>
    </xf>
    <xf numFmtId="0" fontId="0" fillId="4" borderId="60" xfId="0" applyFill="1" applyBorder="1" applyAlignment="1">
      <alignment horizontal="center" vertical="center"/>
    </xf>
    <xf numFmtId="0" fontId="0" fillId="0" borderId="0" xfId="0" applyFill="1" applyBorder="1" applyAlignment="1">
      <alignment horizontal="center" vertical="center"/>
    </xf>
    <xf numFmtId="0" fontId="0" fillId="4" borderId="58" xfId="0" applyFill="1" applyBorder="1" applyAlignment="1">
      <alignment horizontal="center" vertical="center"/>
    </xf>
    <xf numFmtId="0" fontId="0" fillId="0" borderId="0" xfId="0" applyBorder="1" applyAlignment="1">
      <alignment vertical="center"/>
    </xf>
    <xf numFmtId="0" fontId="0" fillId="4" borderId="58" xfId="0" applyFill="1" applyBorder="1" applyAlignment="1">
      <alignment vertical="center"/>
    </xf>
    <xf numFmtId="38" fontId="0" fillId="19" borderId="20" xfId="1" applyFont="1" applyFill="1" applyBorder="1" applyAlignment="1">
      <alignment horizontal="right"/>
    </xf>
    <xf numFmtId="0" fontId="1" fillId="18" borderId="28" xfId="0" applyFont="1" applyFill="1" applyBorder="1" applyAlignment="1" applyProtection="1">
      <alignment horizontal="center"/>
      <protection locked="0"/>
    </xf>
    <xf numFmtId="0" fontId="1" fillId="18" borderId="44" xfId="0" applyFont="1" applyFill="1" applyBorder="1" applyAlignment="1" applyProtection="1">
      <alignment horizontal="center"/>
      <protection locked="0"/>
    </xf>
    <xf numFmtId="0" fontId="0" fillId="2" borderId="15" xfId="0" applyFill="1" applyBorder="1"/>
    <xf numFmtId="0" fontId="0" fillId="2" borderId="16" xfId="0" applyFill="1" applyBorder="1"/>
    <xf numFmtId="38" fontId="0" fillId="2" borderId="13" xfId="0" applyNumberFormat="1" applyFill="1" applyBorder="1"/>
    <xf numFmtId="0" fontId="0" fillId="2" borderId="17" xfId="0" applyFill="1" applyBorder="1"/>
    <xf numFmtId="0" fontId="0" fillId="0" borderId="35" xfId="0" applyBorder="1"/>
    <xf numFmtId="0" fontId="0" fillId="0" borderId="24" xfId="0" applyFill="1" applyBorder="1" applyAlignment="1"/>
    <xf numFmtId="0" fontId="0" fillId="4" borderId="59" xfId="0" applyFill="1" applyBorder="1" applyAlignment="1">
      <alignment horizontal="center" vertical="center" shrinkToFit="1"/>
    </xf>
    <xf numFmtId="0" fontId="0" fillId="4" borderId="61" xfId="0" applyFill="1" applyBorder="1" applyAlignment="1">
      <alignment horizontal="center" vertical="center" shrinkToFit="1"/>
    </xf>
    <xf numFmtId="0" fontId="0" fillId="4" borderId="60" xfId="0" applyFill="1" applyBorder="1" applyAlignment="1">
      <alignment horizontal="center" vertical="center" shrinkToFit="1"/>
    </xf>
    <xf numFmtId="0" fontId="0" fillId="0" borderId="0" xfId="0" applyBorder="1" applyAlignment="1">
      <alignment horizontal="justify"/>
    </xf>
    <xf numFmtId="0" fontId="0" fillId="2" borderId="62" xfId="0" applyFill="1" applyBorder="1"/>
    <xf numFmtId="38" fontId="0" fillId="2" borderId="17" xfId="1" applyFont="1" applyFill="1" applyBorder="1"/>
    <xf numFmtId="38" fontId="0" fillId="0" borderId="1" xfId="1" applyFont="1" applyFill="1" applyBorder="1"/>
    <xf numFmtId="38" fontId="0" fillId="15" borderId="1" xfId="1" applyFont="1" applyFill="1" applyBorder="1" applyAlignment="1" applyProtection="1">
      <alignment horizontal="right" vertical="center"/>
      <protection locked="0"/>
    </xf>
    <xf numFmtId="38" fontId="0" fillId="15" borderId="18" xfId="1" applyFont="1" applyFill="1" applyBorder="1" applyAlignment="1" applyProtection="1">
      <alignment horizontal="right" vertical="center"/>
      <protection locked="0"/>
    </xf>
    <xf numFmtId="38" fontId="0" fillId="15" borderId="13" xfId="1" applyFont="1" applyFill="1" applyBorder="1" applyAlignment="1" applyProtection="1">
      <alignment horizontal="center" vertical="center"/>
      <protection locked="0"/>
    </xf>
    <xf numFmtId="38" fontId="0" fillId="15" borderId="13" xfId="1" applyFont="1" applyFill="1" applyBorder="1" applyAlignment="1" applyProtection="1">
      <alignment horizontal="right" vertical="center"/>
      <protection locked="0"/>
    </xf>
    <xf numFmtId="38" fontId="0" fillId="15" borderId="17" xfId="1" applyFont="1" applyFill="1" applyBorder="1" applyAlignment="1" applyProtection="1">
      <alignment horizontal="right" vertical="center"/>
      <protection locked="0"/>
    </xf>
    <xf numFmtId="0" fontId="0" fillId="0" borderId="22" xfId="0" applyFill="1" applyBorder="1" applyAlignment="1" applyProtection="1">
      <alignment horizontal="center" vertical="center" wrapText="1"/>
    </xf>
    <xf numFmtId="0" fontId="0" fillId="15" borderId="11" xfId="0" applyFill="1" applyBorder="1" applyAlignment="1" applyProtection="1">
      <alignment horizontal="center" vertical="center" wrapText="1"/>
      <protection locked="0"/>
    </xf>
    <xf numFmtId="0" fontId="0" fillId="15" borderId="12" xfId="0" applyFill="1" applyBorder="1" applyAlignment="1" applyProtection="1">
      <alignment horizontal="center" vertical="center" wrapText="1"/>
      <protection locked="0"/>
    </xf>
    <xf numFmtId="0" fontId="0" fillId="15" borderId="64" xfId="0" applyFill="1" applyBorder="1" applyAlignment="1" applyProtection="1">
      <alignment horizontal="center" vertical="center" wrapText="1"/>
      <protection locked="0"/>
    </xf>
    <xf numFmtId="38" fontId="0" fillId="15" borderId="10" xfId="1" applyFont="1" applyFill="1" applyBorder="1" applyAlignment="1" applyProtection="1">
      <alignment horizontal="right" vertical="center"/>
      <protection locked="0"/>
    </xf>
    <xf numFmtId="38" fontId="0" fillId="15" borderId="65" xfId="1" applyFont="1" applyFill="1" applyBorder="1" applyAlignment="1" applyProtection="1">
      <alignment horizontal="right" vertical="center"/>
      <protection locked="0"/>
    </xf>
    <xf numFmtId="180" fontId="0" fillId="0" borderId="0" xfId="0" applyNumberFormat="1" applyAlignment="1"/>
    <xf numFmtId="0" fontId="0" fillId="0" borderId="0" xfId="0" applyBorder="1" applyAlignment="1"/>
    <xf numFmtId="0" fontId="14" fillId="15" borderId="44" xfId="0" applyFont="1" applyFill="1" applyBorder="1" applyAlignment="1" applyProtection="1">
      <alignment horizontal="center" vertical="center"/>
      <protection locked="0"/>
    </xf>
    <xf numFmtId="0" fontId="0" fillId="12" borderId="4" xfId="0" applyFill="1" applyBorder="1"/>
    <xf numFmtId="0" fontId="0" fillId="12" borderId="20" xfId="0" applyFill="1" applyBorder="1"/>
    <xf numFmtId="0" fontId="0" fillId="12" borderId="22" xfId="0" applyFill="1" applyBorder="1"/>
    <xf numFmtId="0" fontId="0" fillId="12" borderId="32" xfId="0" applyFill="1" applyBorder="1"/>
    <xf numFmtId="0" fontId="0" fillId="12" borderId="21" xfId="0" applyFill="1" applyBorder="1"/>
    <xf numFmtId="0" fontId="0" fillId="12" borderId="27" xfId="0" applyFill="1" applyBorder="1"/>
    <xf numFmtId="38" fontId="0" fillId="2" borderId="20" xfId="1" applyFont="1" applyFill="1" applyBorder="1" applyAlignment="1">
      <alignment horizontal="right"/>
    </xf>
    <xf numFmtId="0" fontId="14" fillId="0" borderId="1"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xf>
    <xf numFmtId="0" fontId="14" fillId="0" borderId="22" xfId="0" applyFont="1" applyFill="1" applyBorder="1" applyAlignment="1" applyProtection="1">
      <alignment horizontal="center" vertical="center" wrapText="1"/>
    </xf>
    <xf numFmtId="0" fontId="14" fillId="15" borderId="14" xfId="0" applyFont="1" applyFill="1" applyBorder="1" applyAlignment="1" applyProtection="1">
      <alignment horizontal="center" vertical="center" wrapText="1"/>
      <protection locked="0"/>
    </xf>
    <xf numFmtId="38" fontId="14" fillId="15" borderId="15" xfId="1" applyFont="1" applyFill="1" applyBorder="1" applyAlignment="1" applyProtection="1">
      <alignment horizontal="center" vertical="center"/>
      <protection locked="0"/>
    </xf>
    <xf numFmtId="38" fontId="14" fillId="15" borderId="15" xfId="1" applyFont="1" applyFill="1" applyBorder="1" applyAlignment="1" applyProtection="1">
      <alignment horizontal="right" vertical="center"/>
      <protection locked="0"/>
    </xf>
    <xf numFmtId="38" fontId="14" fillId="15" borderId="16" xfId="1" applyFont="1" applyFill="1" applyBorder="1" applyAlignment="1" applyProtection="1">
      <alignment horizontal="right" vertical="center"/>
      <protection locked="0"/>
    </xf>
    <xf numFmtId="0" fontId="14" fillId="15" borderId="11" xfId="0" applyFont="1" applyFill="1" applyBorder="1" applyAlignment="1" applyProtection="1">
      <alignment horizontal="center" vertical="center" wrapText="1"/>
      <protection locked="0"/>
    </xf>
    <xf numFmtId="38" fontId="14" fillId="15" borderId="1" xfId="1" applyFont="1" applyFill="1" applyBorder="1" applyAlignment="1" applyProtection="1">
      <alignment horizontal="center" vertical="center"/>
      <protection locked="0"/>
    </xf>
    <xf numFmtId="38" fontId="14" fillId="15" borderId="1" xfId="1" applyFont="1" applyFill="1" applyBorder="1" applyAlignment="1" applyProtection="1">
      <alignment horizontal="right" vertical="center"/>
      <protection locked="0"/>
    </xf>
    <xf numFmtId="38" fontId="14" fillId="15" borderId="18" xfId="1" applyFont="1" applyFill="1" applyBorder="1" applyAlignment="1" applyProtection="1">
      <alignment horizontal="right" vertical="center"/>
      <protection locked="0"/>
    </xf>
    <xf numFmtId="0" fontId="14" fillId="15" borderId="12" xfId="0" applyFont="1" applyFill="1" applyBorder="1" applyAlignment="1" applyProtection="1">
      <alignment horizontal="center" vertical="center" wrapText="1"/>
      <protection locked="0"/>
    </xf>
    <xf numFmtId="38" fontId="14" fillId="15" borderId="13" xfId="1" applyFont="1" applyFill="1" applyBorder="1" applyAlignment="1" applyProtection="1">
      <alignment horizontal="center" vertical="center"/>
      <protection locked="0"/>
    </xf>
    <xf numFmtId="38" fontId="14" fillId="15" borderId="13" xfId="1" applyFont="1" applyFill="1" applyBorder="1" applyAlignment="1" applyProtection="1">
      <alignment horizontal="right" vertical="center"/>
      <protection locked="0"/>
    </xf>
    <xf numFmtId="38" fontId="14" fillId="15" borderId="17" xfId="1" applyFont="1" applyFill="1" applyBorder="1" applyAlignment="1" applyProtection="1">
      <alignment horizontal="right" vertical="center"/>
      <protection locked="0"/>
    </xf>
    <xf numFmtId="0" fontId="0" fillId="4" borderId="9"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0" xfId="0" applyAlignment="1">
      <alignment horizontal="center" vertical="center"/>
    </xf>
    <xf numFmtId="0" fontId="0" fillId="0" borderId="0" xfId="0" applyAlignment="1"/>
    <xf numFmtId="0" fontId="13" fillId="0" borderId="0" xfId="0" applyFont="1" applyAlignment="1" applyProtection="1">
      <alignment vertical="center"/>
    </xf>
    <xf numFmtId="0" fontId="13" fillId="0" borderId="0" xfId="0" applyFont="1" applyAlignment="1" applyProtection="1">
      <alignment horizontal="center" vertical="center"/>
    </xf>
    <xf numFmtId="0" fontId="4" fillId="0" borderId="22"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1" xfId="0" applyFont="1" applyBorder="1" applyAlignment="1" applyProtection="1">
      <alignment horizontal="center" vertical="center"/>
    </xf>
    <xf numFmtId="38" fontId="15" fillId="0" borderId="1" xfId="0" applyNumberFormat="1" applyFont="1" applyBorder="1" applyAlignment="1" applyProtection="1">
      <alignment horizontal="right" vertical="center"/>
    </xf>
    <xf numFmtId="38" fontId="15" fillId="0" borderId="22" xfId="0" applyNumberFormat="1" applyFont="1" applyBorder="1" applyAlignment="1" applyProtection="1">
      <alignment horizontal="right" vertical="center"/>
    </xf>
    <xf numFmtId="0" fontId="11" fillId="0" borderId="0" xfId="0" applyFont="1" applyFill="1" applyBorder="1" applyAlignment="1" applyProtection="1">
      <alignment horizontal="left" vertical="center"/>
    </xf>
    <xf numFmtId="0" fontId="14" fillId="0" borderId="0" xfId="0" applyFont="1" applyAlignment="1" applyProtection="1">
      <alignment horizontal="left" vertical="center"/>
    </xf>
    <xf numFmtId="0" fontId="4" fillId="16" borderId="22" xfId="0" applyFont="1" applyFill="1" applyBorder="1" applyAlignment="1" applyProtection="1">
      <alignment horizontal="center" vertical="center"/>
    </xf>
    <xf numFmtId="0" fontId="4" fillId="16" borderId="20" xfId="0" applyFont="1" applyFill="1" applyBorder="1" applyAlignment="1" applyProtection="1">
      <alignment horizontal="center" vertical="center"/>
    </xf>
    <xf numFmtId="0" fontId="4" fillId="16" borderId="4" xfId="0" applyFont="1" applyFill="1" applyBorder="1" applyAlignment="1" applyProtection="1">
      <alignment horizontal="center" vertical="center"/>
    </xf>
    <xf numFmtId="0" fontId="4" fillId="16" borderId="2" xfId="0" applyFont="1" applyFill="1" applyBorder="1" applyAlignment="1" applyProtection="1">
      <alignment horizontal="center" vertical="center"/>
    </xf>
    <xf numFmtId="0" fontId="4" fillId="16" borderId="57" xfId="0" applyFont="1" applyFill="1" applyBorder="1" applyAlignment="1" applyProtection="1">
      <alignment horizontal="center" vertical="center"/>
    </xf>
    <xf numFmtId="0" fontId="4" fillId="16" borderId="3" xfId="0" applyFont="1" applyFill="1" applyBorder="1" applyAlignment="1" applyProtection="1">
      <alignment horizontal="center" vertical="center"/>
    </xf>
    <xf numFmtId="0" fontId="4" fillId="16" borderId="22" xfId="0" applyFont="1" applyFill="1" applyBorder="1" applyAlignment="1" applyProtection="1">
      <alignment horizontal="center" vertical="center" wrapText="1"/>
    </xf>
    <xf numFmtId="0" fontId="4" fillId="16" borderId="20" xfId="0" applyFont="1" applyFill="1" applyBorder="1" applyAlignment="1" applyProtection="1">
      <alignment horizontal="center" vertical="center" wrapText="1"/>
    </xf>
    <xf numFmtId="0" fontId="4" fillId="16" borderId="4" xfId="0" applyFont="1" applyFill="1" applyBorder="1" applyAlignment="1" applyProtection="1">
      <alignment horizontal="center" vertical="center" wrapText="1"/>
    </xf>
    <xf numFmtId="38" fontId="0" fillId="2" borderId="9" xfId="1" applyFont="1" applyFill="1" applyBorder="1" applyAlignment="1">
      <alignment horizontal="right"/>
    </xf>
    <xf numFmtId="38" fontId="0" fillId="2" borderId="10" xfId="1" applyFont="1" applyFill="1" applyBorder="1" applyAlignment="1">
      <alignment horizontal="right"/>
    </xf>
    <xf numFmtId="38" fontId="0" fillId="2" borderId="9" xfId="0" applyNumberFormat="1" applyFill="1" applyBorder="1" applyAlignment="1">
      <alignment horizontal="right"/>
    </xf>
    <xf numFmtId="38" fontId="0" fillId="2" borderId="10" xfId="0" applyNumberFormat="1" applyFill="1" applyBorder="1" applyAlignment="1">
      <alignment horizontal="right"/>
    </xf>
    <xf numFmtId="0" fontId="0" fillId="18" borderId="9" xfId="0" applyFill="1" applyBorder="1" applyAlignment="1" applyProtection="1">
      <alignment horizontal="center"/>
      <protection locked="0"/>
    </xf>
    <xf numFmtId="0" fontId="0" fillId="18" borderId="10" xfId="0" applyFill="1" applyBorder="1" applyAlignment="1" applyProtection="1">
      <alignment horizontal="center"/>
      <protection locked="0"/>
    </xf>
    <xf numFmtId="38" fontId="0" fillId="18" borderId="9" xfId="1" applyFont="1" applyFill="1" applyBorder="1" applyAlignment="1" applyProtection="1">
      <alignment horizontal="center"/>
      <protection locked="0"/>
    </xf>
    <xf numFmtId="38" fontId="0" fillId="18" borderId="10" xfId="1" applyFont="1" applyFill="1" applyBorder="1" applyAlignment="1" applyProtection="1">
      <alignment horizontal="center"/>
      <protection locked="0"/>
    </xf>
    <xf numFmtId="0" fontId="0" fillId="17" borderId="43" xfId="0" applyFill="1" applyBorder="1" applyAlignment="1">
      <alignment horizontal="center" vertical="center" textRotation="255" shrinkToFit="1"/>
    </xf>
    <xf numFmtId="0" fontId="0" fillId="17" borderId="47" xfId="0" applyFill="1" applyBorder="1" applyAlignment="1">
      <alignment horizontal="center" vertical="center" textRotation="255" shrinkToFit="1"/>
    </xf>
    <xf numFmtId="0" fontId="0" fillId="17" borderId="48" xfId="0" applyFill="1" applyBorder="1" applyAlignment="1">
      <alignment horizontal="center" vertical="center" textRotation="255" shrinkToFit="1"/>
    </xf>
    <xf numFmtId="0" fontId="0" fillId="10" borderId="58" xfId="0" applyFill="1" applyBorder="1" applyAlignment="1">
      <alignment horizontal="center" vertical="center"/>
    </xf>
    <xf numFmtId="0" fontId="0" fillId="10" borderId="59" xfId="0" applyFill="1" applyBorder="1" applyAlignment="1">
      <alignment horizontal="center" vertical="center"/>
    </xf>
    <xf numFmtId="0" fontId="0" fillId="3" borderId="43" xfId="0" applyFill="1" applyBorder="1" applyAlignment="1">
      <alignment horizontal="center" vertical="center" textRotation="255"/>
    </xf>
    <xf numFmtId="0" fontId="0" fillId="3" borderId="47" xfId="0" applyFill="1" applyBorder="1" applyAlignment="1">
      <alignment horizontal="center" vertical="center" textRotation="255"/>
    </xf>
    <xf numFmtId="0" fontId="0" fillId="3" borderId="48" xfId="0" applyFill="1" applyBorder="1" applyAlignment="1">
      <alignment horizontal="center" vertical="center" textRotation="255"/>
    </xf>
    <xf numFmtId="0" fontId="0" fillId="2" borderId="43" xfId="0" applyFill="1" applyBorder="1" applyAlignment="1">
      <alignment horizontal="center" vertical="center" textRotation="255" wrapText="1"/>
    </xf>
    <xf numFmtId="0" fontId="0" fillId="2" borderId="47"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0" fillId="8" borderId="43" xfId="0" applyFill="1" applyBorder="1" applyAlignment="1">
      <alignment horizontal="center" vertical="center" textRotation="255" wrapText="1"/>
    </xf>
    <xf numFmtId="0" fontId="0" fillId="8" borderId="47" xfId="0" applyFill="1" applyBorder="1" applyAlignment="1">
      <alignment horizontal="center" vertical="center" textRotation="255" wrapText="1"/>
    </xf>
    <xf numFmtId="0" fontId="0" fillId="8" borderId="48" xfId="0" applyFill="1" applyBorder="1" applyAlignment="1">
      <alignment horizontal="center" vertical="center" textRotation="255" wrapText="1"/>
    </xf>
    <xf numFmtId="38" fontId="0" fillId="2" borderId="3" xfId="0" applyNumberFormat="1" applyFill="1" applyBorder="1" applyAlignment="1">
      <alignment horizontal="right"/>
    </xf>
    <xf numFmtId="38" fontId="0" fillId="2" borderId="6" xfId="0" applyNumberFormat="1" applyFill="1" applyBorder="1" applyAlignment="1">
      <alignment horizontal="right"/>
    </xf>
    <xf numFmtId="38" fontId="0" fillId="18" borderId="9" xfId="1" applyFont="1" applyFill="1" applyBorder="1" applyAlignment="1" applyProtection="1">
      <alignment horizontal="right" vertical="top"/>
      <protection locked="0"/>
    </xf>
    <xf numFmtId="38" fontId="0" fillId="18" borderId="10" xfId="1" applyFont="1" applyFill="1" applyBorder="1" applyAlignment="1" applyProtection="1">
      <alignment horizontal="right" vertical="top"/>
      <protection locked="0"/>
    </xf>
    <xf numFmtId="38" fontId="0" fillId="18" borderId="9" xfId="1" applyFont="1" applyFill="1" applyBorder="1" applyAlignment="1" applyProtection="1">
      <alignment horizontal="right"/>
      <protection locked="0"/>
    </xf>
    <xf numFmtId="38" fontId="0" fillId="18" borderId="10" xfId="1" applyFont="1" applyFill="1" applyBorder="1" applyAlignment="1" applyProtection="1">
      <alignment horizontal="right"/>
      <protection locked="0"/>
    </xf>
    <xf numFmtId="0" fontId="0" fillId="19" borderId="1" xfId="0" applyFill="1" applyBorder="1" applyAlignment="1" applyProtection="1">
      <alignment horizontal="center"/>
      <protection locked="0"/>
    </xf>
    <xf numFmtId="0" fontId="0" fillId="18" borderId="38" xfId="0" applyFill="1" applyBorder="1" applyAlignment="1" applyProtection="1">
      <alignment horizontal="center" wrapText="1"/>
      <protection locked="0"/>
    </xf>
    <xf numFmtId="0" fontId="0" fillId="18" borderId="10" xfId="0" applyFill="1" applyBorder="1" applyAlignment="1" applyProtection="1">
      <alignment horizontal="center" wrapText="1"/>
      <protection locked="0"/>
    </xf>
    <xf numFmtId="0" fontId="0" fillId="18" borderId="9" xfId="0" applyFill="1" applyBorder="1" applyAlignment="1" applyProtection="1">
      <alignment horizontal="center" wrapText="1"/>
      <protection locked="0"/>
    </xf>
    <xf numFmtId="38" fontId="0" fillId="18" borderId="38" xfId="1" applyFont="1" applyFill="1" applyBorder="1" applyAlignment="1" applyProtection="1">
      <alignment horizontal="center" vertical="top" wrapText="1"/>
      <protection locked="0"/>
    </xf>
    <xf numFmtId="38" fontId="0" fillId="18" borderId="10" xfId="1" applyFont="1" applyFill="1" applyBorder="1" applyAlignment="1" applyProtection="1">
      <alignment horizontal="center" vertical="top" wrapText="1"/>
      <protection locked="0"/>
    </xf>
    <xf numFmtId="38" fontId="0" fillId="18" borderId="9" xfId="1" applyFont="1" applyFill="1" applyBorder="1" applyAlignment="1" applyProtection="1">
      <alignment horizontal="center" vertical="top" wrapText="1"/>
      <protection locked="0"/>
    </xf>
    <xf numFmtId="0" fontId="0" fillId="4" borderId="9" xfId="0" applyFill="1" applyBorder="1" applyAlignment="1">
      <alignment horizontal="center" vertical="center" wrapText="1"/>
    </xf>
    <xf numFmtId="0" fontId="0" fillId="4" borderId="10" xfId="0" applyFill="1" applyBorder="1" applyAlignment="1">
      <alignment horizontal="center" vertical="center"/>
    </xf>
    <xf numFmtId="38" fontId="0" fillId="18" borderId="9" xfId="1" applyFont="1" applyFill="1" applyBorder="1" applyAlignment="1" applyProtection="1">
      <alignment horizontal="center" wrapText="1"/>
      <protection locked="0"/>
    </xf>
    <xf numFmtId="38" fontId="0" fillId="18" borderId="10" xfId="1" applyFont="1" applyFill="1" applyBorder="1" applyAlignment="1" applyProtection="1">
      <alignment horizontal="center" wrapText="1"/>
      <protection locked="0"/>
    </xf>
    <xf numFmtId="0" fontId="0" fillId="19" borderId="9" xfId="0" applyFill="1" applyBorder="1" applyAlignment="1">
      <alignment horizontal="center" vertical="center" wrapText="1"/>
    </xf>
    <xf numFmtId="0" fontId="0" fillId="19" borderId="1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22" xfId="0" applyFill="1" applyBorder="1" applyAlignment="1">
      <alignment horizontal="center" vertical="center"/>
    </xf>
    <xf numFmtId="0" fontId="0" fillId="4" borderId="4" xfId="0" applyFill="1" applyBorder="1" applyAlignment="1">
      <alignment horizontal="center" vertical="center"/>
    </xf>
    <xf numFmtId="0" fontId="0" fillId="4" borderId="1" xfId="0" applyFill="1" applyBorder="1" applyAlignment="1">
      <alignment horizontal="center" vertical="center"/>
    </xf>
    <xf numFmtId="0" fontId="0" fillId="0" borderId="19" xfId="0" applyBorder="1" applyAlignment="1">
      <alignment horizontal="left"/>
    </xf>
    <xf numFmtId="0" fontId="3" fillId="18" borderId="19" xfId="0" applyFont="1" applyFill="1" applyBorder="1" applyAlignment="1" applyProtection="1">
      <alignment horizontal="left"/>
      <protection locked="0"/>
    </xf>
    <xf numFmtId="0" fontId="0" fillId="4" borderId="9" xfId="0" applyFill="1" applyBorder="1" applyAlignment="1">
      <alignment horizontal="center" vertical="center"/>
    </xf>
    <xf numFmtId="38" fontId="0" fillId="2" borderId="3" xfId="1" applyFont="1" applyFill="1" applyBorder="1" applyAlignment="1">
      <alignment horizontal="right"/>
    </xf>
    <xf numFmtId="38" fontId="0" fillId="2" borderId="6" xfId="1" applyFont="1" applyFill="1" applyBorder="1" applyAlignment="1">
      <alignment horizontal="right"/>
    </xf>
    <xf numFmtId="0" fontId="0" fillId="4" borderId="40" xfId="0" applyFill="1" applyBorder="1" applyAlignment="1">
      <alignment horizontal="center"/>
    </xf>
    <xf numFmtId="0" fontId="0" fillId="4" borderId="42" xfId="0" applyFill="1" applyBorder="1" applyAlignment="1">
      <alignment horizontal="center"/>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0" fillId="4" borderId="23" xfId="0" applyFill="1" applyBorder="1" applyAlignment="1">
      <alignment horizontal="center" vertical="center"/>
    </xf>
    <xf numFmtId="38" fontId="0" fillId="2" borderId="56" xfId="0" applyNumberFormat="1" applyFill="1" applyBorder="1" applyAlignment="1">
      <alignment horizontal="right"/>
    </xf>
    <xf numFmtId="38" fontId="0" fillId="2" borderId="55" xfId="0" applyNumberFormat="1" applyFill="1" applyBorder="1" applyAlignment="1">
      <alignment horizontal="right"/>
    </xf>
    <xf numFmtId="0" fontId="0" fillId="0" borderId="33" xfId="0" applyBorder="1" applyAlignment="1">
      <alignment horizontal="left" vertical="center"/>
    </xf>
    <xf numFmtId="0" fontId="0" fillId="0" borderId="34" xfId="0" applyBorder="1" applyAlignment="1">
      <alignment horizontal="left" vertical="center"/>
    </xf>
    <xf numFmtId="0" fontId="0" fillId="0" borderId="66" xfId="0" applyBorder="1" applyAlignment="1">
      <alignment horizontal="left" vertical="center"/>
    </xf>
    <xf numFmtId="0" fontId="0" fillId="0" borderId="35"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4" borderId="33" xfId="0" applyFill="1" applyBorder="1" applyAlignment="1">
      <alignment horizontal="center" vertical="center" textRotation="255" shrinkToFit="1"/>
    </xf>
    <xf numFmtId="0" fontId="0" fillId="4" borderId="50" xfId="0" applyFill="1" applyBorder="1" applyAlignment="1">
      <alignment horizontal="center" vertical="center" textRotation="255" shrinkToFit="1"/>
    </xf>
    <xf numFmtId="0" fontId="0" fillId="4" borderId="35"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39" xfId="0" applyFill="1" applyBorder="1" applyAlignment="1">
      <alignment horizontal="center" vertical="center" textRotation="255" shrinkToFit="1"/>
    </xf>
    <xf numFmtId="0" fontId="0" fillId="4" borderId="32" xfId="0" applyFill="1" applyBorder="1" applyAlignment="1">
      <alignment horizontal="center" vertical="center" textRotation="255" shrinkToFit="1"/>
    </xf>
    <xf numFmtId="0" fontId="0" fillId="4" borderId="33" xfId="0" applyFill="1" applyBorder="1" applyAlignment="1">
      <alignment horizontal="center" vertical="center" textRotation="255"/>
    </xf>
    <xf numFmtId="0" fontId="0" fillId="4" borderId="50" xfId="0" applyFill="1" applyBorder="1" applyAlignment="1">
      <alignment horizontal="center" vertical="center" textRotation="255"/>
    </xf>
    <xf numFmtId="0" fontId="0" fillId="4" borderId="35" xfId="0" applyFill="1" applyBorder="1" applyAlignment="1">
      <alignment horizontal="center" vertical="center" textRotation="255"/>
    </xf>
    <xf numFmtId="0" fontId="0" fillId="4" borderId="8" xfId="0" applyFill="1" applyBorder="1" applyAlignment="1">
      <alignment horizontal="center" vertical="center" textRotation="255"/>
    </xf>
    <xf numFmtId="0" fontId="0" fillId="4" borderId="39" xfId="0" applyFill="1" applyBorder="1" applyAlignment="1">
      <alignment horizontal="center" vertical="center" textRotation="255"/>
    </xf>
    <xf numFmtId="0" fontId="0" fillId="4" borderId="32" xfId="0" applyFill="1" applyBorder="1" applyAlignment="1">
      <alignment horizontal="center" vertical="center" textRotation="255"/>
    </xf>
    <xf numFmtId="38" fontId="0" fillId="12" borderId="22" xfId="0" applyNumberFormat="1" applyFill="1" applyBorder="1" applyAlignment="1">
      <alignment horizontal="right"/>
    </xf>
    <xf numFmtId="38" fontId="0" fillId="12" borderId="20" xfId="0" applyNumberFormat="1" applyFill="1" applyBorder="1" applyAlignment="1">
      <alignment horizontal="right"/>
    </xf>
    <xf numFmtId="0" fontId="0" fillId="12" borderId="22" xfId="0" applyFill="1" applyBorder="1" applyAlignment="1">
      <alignment horizontal="right"/>
    </xf>
    <xf numFmtId="0" fontId="0" fillId="12" borderId="20" xfId="0" applyFill="1" applyBorder="1" applyAlignment="1">
      <alignment horizontal="right"/>
    </xf>
    <xf numFmtId="0" fontId="0" fillId="2" borderId="22" xfId="0" applyFill="1" applyBorder="1" applyAlignment="1">
      <alignment horizontal="right"/>
    </xf>
    <xf numFmtId="0" fontId="0" fillId="2" borderId="20" xfId="0" applyFill="1" applyBorder="1" applyAlignment="1">
      <alignment horizontal="right"/>
    </xf>
    <xf numFmtId="38" fontId="0" fillId="2" borderId="39" xfId="1" applyFont="1" applyFill="1" applyBorder="1" applyAlignment="1">
      <alignment horizontal="right"/>
    </xf>
    <xf numFmtId="38" fontId="0" fillId="2" borderId="19" xfId="1" applyFont="1" applyFill="1" applyBorder="1" applyAlignment="1">
      <alignment horizontal="right"/>
    </xf>
    <xf numFmtId="0" fontId="0" fillId="4" borderId="30" xfId="0" applyFill="1" applyBorder="1" applyAlignment="1">
      <alignment horizontal="center"/>
    </xf>
    <xf numFmtId="0" fontId="0" fillId="4" borderId="53" xfId="0" applyFill="1" applyBorder="1" applyAlignment="1">
      <alignment horizontal="center"/>
    </xf>
    <xf numFmtId="0" fontId="0" fillId="4" borderId="37" xfId="0" applyFill="1" applyBorder="1" applyAlignment="1">
      <alignment horizontal="center"/>
    </xf>
    <xf numFmtId="0" fontId="0" fillId="2" borderId="46" xfId="0" applyFill="1" applyBorder="1" applyAlignment="1">
      <alignment horizontal="center"/>
    </xf>
    <xf numFmtId="0" fontId="0" fillId="2" borderId="45" xfId="0" applyFill="1" applyBorder="1" applyAlignment="1">
      <alignment horizontal="center"/>
    </xf>
    <xf numFmtId="0" fontId="0" fillId="2" borderId="19" xfId="0" applyFill="1" applyBorder="1" applyAlignment="1">
      <alignment horizontal="center"/>
    </xf>
    <xf numFmtId="0" fontId="0" fillId="2" borderId="32" xfId="0" applyFill="1" applyBorder="1" applyAlignment="1">
      <alignment horizontal="center"/>
    </xf>
    <xf numFmtId="38" fontId="0" fillId="2" borderId="45" xfId="0" applyNumberFormat="1" applyFill="1" applyBorder="1" applyAlignment="1">
      <alignment horizontal="right"/>
    </xf>
    <xf numFmtId="0" fontId="0" fillId="2" borderId="19" xfId="0" applyFill="1" applyBorder="1" applyAlignment="1">
      <alignment horizontal="right"/>
    </xf>
    <xf numFmtId="0" fontId="0" fillId="4" borderId="52" xfId="0" applyFill="1" applyBorder="1" applyAlignment="1">
      <alignment horizontal="center" shrinkToFit="1"/>
    </xf>
    <xf numFmtId="0" fontId="0" fillId="4" borderId="53" xfId="0" applyFill="1" applyBorder="1" applyAlignment="1">
      <alignment horizontal="center" shrinkToFit="1"/>
    </xf>
    <xf numFmtId="0" fontId="0" fillId="4" borderId="23" xfId="0" applyFill="1" applyBorder="1" applyAlignment="1">
      <alignment horizontal="center" shrinkToFit="1"/>
    </xf>
    <xf numFmtId="0" fontId="0" fillId="12" borderId="46" xfId="0" applyFill="1" applyBorder="1" applyAlignment="1">
      <alignment horizontal="center"/>
    </xf>
    <xf numFmtId="0" fontId="0" fillId="12" borderId="45" xfId="0" applyFill="1" applyBorder="1" applyAlignment="1">
      <alignment horizontal="center"/>
    </xf>
    <xf numFmtId="0" fontId="0" fillId="12" borderId="19" xfId="0" applyFill="1" applyBorder="1" applyAlignment="1">
      <alignment horizontal="center"/>
    </xf>
    <xf numFmtId="0" fontId="0" fillId="12" borderId="32" xfId="0" applyFill="1" applyBorder="1" applyAlignment="1">
      <alignment horizontal="center"/>
    </xf>
    <xf numFmtId="38" fontId="0" fillId="12" borderId="45" xfId="0" applyNumberFormat="1" applyFill="1" applyBorder="1" applyAlignment="1">
      <alignment horizontal="right"/>
    </xf>
    <xf numFmtId="0" fontId="0" fillId="12" borderId="19" xfId="0" applyFill="1" applyBorder="1" applyAlignment="1">
      <alignment horizontal="right"/>
    </xf>
    <xf numFmtId="38" fontId="0" fillId="12" borderId="39" xfId="1" applyFont="1" applyFill="1" applyBorder="1" applyAlignment="1">
      <alignment horizontal="right"/>
    </xf>
    <xf numFmtId="38" fontId="0" fillId="12" borderId="19" xfId="1" applyFont="1" applyFill="1" applyBorder="1" applyAlignment="1">
      <alignment horizontal="right"/>
    </xf>
    <xf numFmtId="0" fontId="0" fillId="2" borderId="31" xfId="0" applyFill="1" applyBorder="1" applyAlignment="1">
      <alignment horizontal="right"/>
    </xf>
    <xf numFmtId="0" fontId="0" fillId="2" borderId="55" xfId="0" applyFill="1" applyBorder="1" applyAlignment="1">
      <alignment horizontal="right"/>
    </xf>
    <xf numFmtId="0" fontId="0" fillId="12" borderId="1" xfId="0" applyFill="1" applyBorder="1" applyAlignment="1">
      <alignment horizontal="center"/>
    </xf>
    <xf numFmtId="179" fontId="0" fillId="12" borderId="22" xfId="0" applyNumberFormat="1" applyFill="1" applyBorder="1" applyAlignment="1">
      <alignment horizontal="right"/>
    </xf>
    <xf numFmtId="179" fontId="0" fillId="12" borderId="20" xfId="0" applyNumberFormat="1" applyFill="1" applyBorder="1" applyAlignment="1">
      <alignment horizontal="right"/>
    </xf>
    <xf numFmtId="38" fontId="0" fillId="12" borderId="22" xfId="1" applyFont="1" applyFill="1" applyBorder="1" applyAlignment="1">
      <alignment horizontal="right"/>
    </xf>
    <xf numFmtId="38" fontId="0" fillId="12" borderId="20" xfId="1" applyFont="1" applyFill="1" applyBorder="1" applyAlignment="1">
      <alignment horizontal="right"/>
    </xf>
    <xf numFmtId="0" fontId="0" fillId="4" borderId="23" xfId="0" applyFill="1" applyBorder="1" applyAlignment="1">
      <alignment horizontal="center"/>
    </xf>
    <xf numFmtId="0" fontId="0" fillId="4" borderId="30" xfId="0" applyFill="1" applyBorder="1" applyAlignment="1">
      <alignment horizontal="center" shrinkToFit="1"/>
    </xf>
    <xf numFmtId="0" fontId="0" fillId="4" borderId="37" xfId="0" applyFill="1" applyBorder="1" applyAlignment="1">
      <alignment horizontal="center" shrinkToFit="1"/>
    </xf>
    <xf numFmtId="38" fontId="0" fillId="2" borderId="31" xfId="0" applyNumberFormat="1" applyFill="1" applyBorder="1" applyAlignment="1">
      <alignment horizontal="right"/>
    </xf>
    <xf numFmtId="0" fontId="0" fillId="2" borderId="1" xfId="0" applyFill="1" applyBorder="1" applyAlignment="1">
      <alignment horizontal="center"/>
    </xf>
    <xf numFmtId="179" fontId="0" fillId="2" borderId="22" xfId="0" applyNumberFormat="1" applyFill="1" applyBorder="1" applyAlignment="1">
      <alignment horizontal="right"/>
    </xf>
    <xf numFmtId="179" fontId="0" fillId="2" borderId="20" xfId="0" applyNumberFormat="1" applyFill="1" applyBorder="1" applyAlignment="1">
      <alignment horizontal="right"/>
    </xf>
    <xf numFmtId="38" fontId="0" fillId="2" borderId="22" xfId="0" applyNumberFormat="1" applyFill="1" applyBorder="1" applyAlignment="1">
      <alignment horizontal="right"/>
    </xf>
    <xf numFmtId="38" fontId="0" fillId="2" borderId="22" xfId="1" applyFont="1" applyFill="1" applyBorder="1" applyAlignment="1">
      <alignment horizontal="right"/>
    </xf>
    <xf numFmtId="38" fontId="0" fillId="2" borderId="20" xfId="1" applyFont="1" applyFill="1" applyBorder="1" applyAlignment="1">
      <alignment horizontal="right"/>
    </xf>
    <xf numFmtId="38" fontId="0" fillId="2" borderId="20" xfId="0" applyNumberFormat="1" applyFill="1" applyBorder="1" applyAlignment="1">
      <alignment horizontal="right"/>
    </xf>
    <xf numFmtId="0" fontId="0" fillId="2" borderId="11" xfId="0" applyFill="1" applyBorder="1" applyAlignment="1">
      <alignment horizontal="left"/>
    </xf>
    <xf numFmtId="0" fontId="0" fillId="2" borderId="1" xfId="0" applyFill="1" applyBorder="1" applyAlignment="1">
      <alignment horizontal="left"/>
    </xf>
    <xf numFmtId="38" fontId="0" fillId="2" borderId="1" xfId="0" applyNumberFormat="1" applyFill="1" applyBorder="1" applyAlignment="1">
      <alignment horizontal="right"/>
    </xf>
    <xf numFmtId="0" fontId="0" fillId="2" borderId="1" xfId="0" applyFill="1" applyBorder="1" applyAlignment="1">
      <alignment horizontal="right"/>
    </xf>
    <xf numFmtId="0" fontId="0" fillId="2" borderId="12" xfId="0" applyFill="1" applyBorder="1" applyAlignment="1">
      <alignment horizontal="left"/>
    </xf>
    <xf numFmtId="0" fontId="0" fillId="2" borderId="13" xfId="0" applyFill="1" applyBorder="1" applyAlignment="1">
      <alignment horizontal="left"/>
    </xf>
    <xf numFmtId="38" fontId="0" fillId="5" borderId="13" xfId="0" applyNumberFormat="1" applyFill="1" applyBorder="1" applyAlignment="1">
      <alignment horizontal="right"/>
    </xf>
    <xf numFmtId="38" fontId="0" fillId="5" borderId="17" xfId="0" applyNumberFormat="1" applyFill="1" applyBorder="1" applyAlignment="1">
      <alignment horizontal="right"/>
    </xf>
    <xf numFmtId="0" fontId="0" fillId="2" borderId="14" xfId="0" applyFill="1" applyBorder="1" applyAlignment="1">
      <alignment horizontal="left"/>
    </xf>
    <xf numFmtId="0" fontId="0" fillId="2" borderId="15" xfId="0" applyFill="1" applyBorder="1" applyAlignment="1">
      <alignment horizontal="left"/>
    </xf>
    <xf numFmtId="0" fontId="0" fillId="4" borderId="14" xfId="0" applyFill="1" applyBorder="1" applyAlignment="1">
      <alignment horizontal="center"/>
    </xf>
    <xf numFmtId="0" fontId="0" fillId="4" borderId="15" xfId="0" applyFill="1" applyBorder="1" applyAlignment="1">
      <alignment horizontal="center"/>
    </xf>
    <xf numFmtId="0" fontId="0" fillId="4" borderId="16" xfId="0"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right"/>
    </xf>
    <xf numFmtId="38" fontId="0" fillId="5" borderId="1" xfId="1" applyFont="1" applyFill="1" applyBorder="1" applyAlignment="1">
      <alignment horizontal="right"/>
    </xf>
    <xf numFmtId="38" fontId="0" fillId="5" borderId="1" xfId="0" applyNumberFormat="1" applyFill="1" applyBorder="1" applyAlignment="1">
      <alignment horizontal="right"/>
    </xf>
    <xf numFmtId="38" fontId="0" fillId="5" borderId="18" xfId="0" applyNumberFormat="1" applyFill="1" applyBorder="1" applyAlignment="1">
      <alignment horizontal="right"/>
    </xf>
    <xf numFmtId="0" fontId="0" fillId="5" borderId="11" xfId="0" applyFill="1" applyBorder="1" applyAlignment="1">
      <alignment horizontal="center" wrapText="1"/>
    </xf>
    <xf numFmtId="0" fontId="0" fillId="5" borderId="1" xfId="0" applyFill="1" applyBorder="1" applyAlignment="1">
      <alignment horizontal="center" wrapText="1"/>
    </xf>
    <xf numFmtId="0" fontId="11" fillId="0" borderId="0" xfId="0" applyFont="1" applyAlignment="1">
      <alignment horizontal="center"/>
    </xf>
    <xf numFmtId="0" fontId="8" fillId="0" borderId="0" xfId="0" applyFont="1" applyAlignment="1">
      <alignment horizontal="left"/>
    </xf>
    <xf numFmtId="14" fontId="0" fillId="0" borderId="0" xfId="0" applyNumberFormat="1" applyAlignment="1">
      <alignment horizontal="center"/>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11" xfId="0" applyFill="1" applyBorder="1" applyAlignment="1">
      <alignment horizontal="center" wrapText="1"/>
    </xf>
    <xf numFmtId="0" fontId="0" fillId="4" borderId="1" xfId="0" applyFill="1" applyBorder="1" applyAlignment="1">
      <alignment horizontal="center" wrapText="1"/>
    </xf>
    <xf numFmtId="0" fontId="0" fillId="4" borderId="1" xfId="0" applyFill="1" applyBorder="1" applyAlignment="1">
      <alignment horizontal="center"/>
    </xf>
    <xf numFmtId="0" fontId="0" fillId="4" borderId="16" xfId="0" applyFill="1" applyBorder="1" applyAlignment="1">
      <alignment horizontal="center" wrapText="1"/>
    </xf>
    <xf numFmtId="0" fontId="0" fillId="4" borderId="18" xfId="0" applyFill="1" applyBorder="1" applyAlignment="1">
      <alignment horizontal="center" wrapText="1"/>
    </xf>
    <xf numFmtId="38" fontId="0" fillId="5" borderId="10" xfId="0" applyNumberFormat="1" applyFill="1" applyBorder="1" applyAlignment="1">
      <alignment horizontal="right"/>
    </xf>
    <xf numFmtId="38" fontId="0" fillId="5" borderId="65" xfId="0" applyNumberFormat="1" applyFill="1" applyBorder="1" applyAlignment="1">
      <alignment horizontal="right"/>
    </xf>
    <xf numFmtId="38" fontId="0" fillId="5" borderId="49" xfId="0" applyNumberFormat="1" applyFill="1" applyBorder="1" applyAlignment="1">
      <alignment horizontal="right"/>
    </xf>
    <xf numFmtId="38" fontId="0" fillId="5" borderId="63" xfId="0" applyNumberFormat="1" applyFill="1" applyBorder="1" applyAlignment="1">
      <alignment horizontal="right"/>
    </xf>
    <xf numFmtId="0" fontId="0" fillId="5" borderId="51" xfId="0" applyFill="1" applyBorder="1" applyAlignment="1">
      <alignment horizontal="center" wrapText="1"/>
    </xf>
    <xf numFmtId="0" fontId="0" fillId="5" borderId="49" xfId="0" applyFill="1" applyBorder="1" applyAlignment="1">
      <alignment horizontal="center" wrapText="1"/>
    </xf>
    <xf numFmtId="38" fontId="0" fillId="5" borderId="49" xfId="1" applyFont="1" applyFill="1" applyBorder="1" applyAlignment="1">
      <alignment horizontal="right"/>
    </xf>
    <xf numFmtId="0" fontId="0" fillId="5" borderId="49" xfId="0" applyFill="1" applyBorder="1" applyAlignment="1">
      <alignment horizontal="center"/>
    </xf>
    <xf numFmtId="0" fontId="0" fillId="5" borderId="49" xfId="0" applyFill="1" applyBorder="1" applyAlignment="1">
      <alignment horizontal="right"/>
    </xf>
    <xf numFmtId="0" fontId="0" fillId="5" borderId="64" xfId="0" applyFill="1" applyBorder="1" applyAlignment="1">
      <alignment horizontal="center" wrapText="1"/>
    </xf>
    <xf numFmtId="0" fontId="0" fillId="5" borderId="10" xfId="0" applyFill="1" applyBorder="1" applyAlignment="1">
      <alignment horizontal="center" wrapText="1"/>
    </xf>
    <xf numFmtId="38" fontId="0" fillId="5" borderId="10" xfId="1" applyFont="1" applyFill="1" applyBorder="1" applyAlignment="1">
      <alignment horizontal="right"/>
    </xf>
    <xf numFmtId="0" fontId="0" fillId="5" borderId="10" xfId="0" applyFill="1" applyBorder="1" applyAlignment="1">
      <alignment horizontal="center"/>
    </xf>
    <xf numFmtId="0" fontId="0" fillId="5" borderId="10" xfId="0" applyFill="1" applyBorder="1" applyAlignment="1">
      <alignment horizontal="right"/>
    </xf>
    <xf numFmtId="0" fontId="0" fillId="2" borderId="11" xfId="0" applyFill="1" applyBorder="1" applyAlignment="1">
      <alignment horizontal="left" shrinkToFit="1"/>
    </xf>
    <xf numFmtId="0" fontId="0" fillId="2" borderId="1" xfId="0" applyFill="1" applyBorder="1" applyAlignment="1">
      <alignment horizontal="left" shrinkToFit="1"/>
    </xf>
    <xf numFmtId="0" fontId="0" fillId="2" borderId="54" xfId="0" applyFill="1" applyBorder="1" applyAlignment="1">
      <alignment horizontal="left"/>
    </xf>
    <xf numFmtId="0" fontId="0" fillId="2" borderId="20" xfId="0" applyFill="1" applyBorder="1" applyAlignment="1">
      <alignment horizontal="left"/>
    </xf>
    <xf numFmtId="0" fontId="0" fillId="2" borderId="4" xfId="0" applyFill="1" applyBorder="1" applyAlignment="1">
      <alignment horizontal="left"/>
    </xf>
    <xf numFmtId="0" fontId="0" fillId="2" borderId="12" xfId="0" applyFill="1" applyBorder="1" applyAlignment="1">
      <alignment horizontal="left" shrinkToFit="1"/>
    </xf>
    <xf numFmtId="0" fontId="0" fillId="2" borderId="13" xfId="0" applyFill="1" applyBorder="1" applyAlignment="1">
      <alignment horizontal="left" shrinkToFit="1"/>
    </xf>
    <xf numFmtId="38" fontId="0" fillId="2" borderId="13" xfId="0" applyNumberFormat="1" applyFill="1" applyBorder="1" applyAlignment="1">
      <alignment horizontal="right"/>
    </xf>
    <xf numFmtId="0" fontId="0" fillId="2" borderId="13" xfId="0" applyFill="1" applyBorder="1" applyAlignment="1">
      <alignment horizontal="right"/>
    </xf>
    <xf numFmtId="0" fontId="0" fillId="2" borderId="22" xfId="0" applyFill="1" applyBorder="1" applyAlignment="1"/>
    <xf numFmtId="0" fontId="0" fillId="2" borderId="20" xfId="0" applyFill="1" applyBorder="1" applyAlignment="1"/>
    <xf numFmtId="0" fontId="0" fillId="2" borderId="1" xfId="0" applyFill="1" applyBorder="1" applyAlignment="1">
      <alignment horizontal="center" shrinkToFit="1"/>
    </xf>
  </cellXfs>
  <cellStyles count="2">
    <cellStyle name="桁区切り" xfId="1" builtinId="6"/>
    <cellStyle name="標準" xfId="0" builtinId="0"/>
  </cellStyles>
  <dxfs count="4">
    <dxf>
      <font>
        <b/>
        <i val="0"/>
        <condense val="0"/>
        <extend val="0"/>
        <color indexed="10"/>
      </font>
    </dxf>
    <dxf>
      <font>
        <b/>
        <i val="0"/>
        <condense val="0"/>
        <extend val="0"/>
        <u val="none"/>
        <color indexed="10"/>
      </font>
    </dxf>
    <dxf>
      <font>
        <condense val="0"/>
        <extend val="0"/>
        <color indexed="10"/>
      </font>
    </dxf>
    <dxf>
      <font>
        <condense val="0"/>
        <extend val="0"/>
        <u val="none"/>
        <color indexed="10"/>
      </font>
    </dxf>
  </dxfs>
  <tableStyles count="0" defaultTableStyle="TableStyleMedium2" defaultPivotStyle="PivotStyleLight16"/>
  <colors>
    <mruColors>
      <color rgb="FFCCFFCC"/>
      <color rgb="FF00FF00"/>
      <color rgb="FFFFFF99"/>
      <color rgb="FFFFCC00"/>
      <color rgb="FFFFCC99"/>
      <color rgb="FFCC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57150</xdr:colOff>
      <xdr:row>3</xdr:row>
      <xdr:rowOff>104775</xdr:rowOff>
    </xdr:from>
    <xdr:to>
      <xdr:col>0</xdr:col>
      <xdr:colOff>304800</xdr:colOff>
      <xdr:row>3</xdr:row>
      <xdr:rowOff>104775</xdr:rowOff>
    </xdr:to>
    <xdr:sp macro="" textlink="">
      <xdr:nvSpPr>
        <xdr:cNvPr id="8" name="Line 99">
          <a:extLst>
            <a:ext uri="{FF2B5EF4-FFF2-40B4-BE49-F238E27FC236}">
              <a16:creationId xmlns:a16="http://schemas.microsoft.com/office/drawing/2014/main" id="{00000000-0008-0000-0100-000008000000}"/>
            </a:ext>
          </a:extLst>
        </xdr:cNvPr>
        <xdr:cNvSpPr>
          <a:spLocks noChangeShapeType="1"/>
        </xdr:cNvSpPr>
      </xdr:nvSpPr>
      <xdr:spPr bwMode="auto">
        <a:xfrm flipH="1">
          <a:off x="57150" y="733425"/>
          <a:ext cx="24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3</xdr:row>
      <xdr:rowOff>104775</xdr:rowOff>
    </xdr:from>
    <xdr:to>
      <xdr:col>0</xdr:col>
      <xdr:colOff>66675</xdr:colOff>
      <xdr:row>6</xdr:row>
      <xdr:rowOff>0</xdr:rowOff>
    </xdr:to>
    <xdr:sp macro="" textlink="">
      <xdr:nvSpPr>
        <xdr:cNvPr id="9" name="Line 100">
          <a:extLst>
            <a:ext uri="{FF2B5EF4-FFF2-40B4-BE49-F238E27FC236}">
              <a16:creationId xmlns:a16="http://schemas.microsoft.com/office/drawing/2014/main" id="{00000000-0008-0000-0100-000009000000}"/>
            </a:ext>
          </a:extLst>
        </xdr:cNvPr>
        <xdr:cNvSpPr>
          <a:spLocks noChangeShapeType="1"/>
        </xdr:cNvSpPr>
      </xdr:nvSpPr>
      <xdr:spPr bwMode="auto">
        <a:xfrm>
          <a:off x="66675" y="733425"/>
          <a:ext cx="0" cy="1914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3"/>
  <sheetViews>
    <sheetView tabSelected="1" zoomScaleNormal="100" workbookViewId="0">
      <selection activeCell="K11" sqref="K11"/>
    </sheetView>
  </sheetViews>
  <sheetFormatPr defaultColWidth="9.109375" defaultRowHeight="13.2" x14ac:dyDescent="0.2"/>
  <cols>
    <col min="1" max="1" width="5.77734375" style="115" customWidth="1"/>
    <col min="2" max="7" width="15.77734375" style="115" customWidth="1"/>
    <col min="8" max="10" width="10.77734375" style="115" customWidth="1"/>
    <col min="11" max="16384" width="9.109375" style="115"/>
  </cols>
  <sheetData>
    <row r="1" spans="1:12" ht="25.8" x14ac:dyDescent="0.2">
      <c r="A1" s="250" t="s">
        <v>174</v>
      </c>
      <c r="B1" s="250"/>
      <c r="C1" s="250"/>
      <c r="D1" s="250"/>
      <c r="E1" s="250"/>
      <c r="F1" s="250"/>
      <c r="G1" s="250"/>
      <c r="H1" s="250"/>
      <c r="I1" s="250"/>
      <c r="J1" s="250"/>
      <c r="K1" s="249"/>
      <c r="L1" s="249"/>
    </row>
    <row r="3" spans="1:12" s="116" customFormat="1" ht="14.4" x14ac:dyDescent="0.2">
      <c r="A3" s="116" t="s">
        <v>151</v>
      </c>
    </row>
    <row r="4" spans="1:12" s="116" customFormat="1" ht="14.4" x14ac:dyDescent="0.2">
      <c r="A4" s="116" t="s">
        <v>164</v>
      </c>
    </row>
    <row r="5" spans="1:12" s="116" customFormat="1" ht="14.4" x14ac:dyDescent="0.2">
      <c r="A5" s="116" t="s">
        <v>165</v>
      </c>
    </row>
    <row r="6" spans="1:12" s="116" customFormat="1" ht="14.4" x14ac:dyDescent="0.2"/>
    <row r="7" spans="1:12" s="116" customFormat="1" ht="14.4" x14ac:dyDescent="0.2">
      <c r="B7" s="256" t="s">
        <v>152</v>
      </c>
      <c r="C7" s="256"/>
    </row>
    <row r="8" spans="1:12" s="116" customFormat="1" ht="15" thickBot="1" x14ac:dyDescent="0.25">
      <c r="B8" s="257" t="s">
        <v>153</v>
      </c>
      <c r="C8" s="257"/>
    </row>
    <row r="9" spans="1:12" s="116" customFormat="1" ht="15" thickBot="1" x14ac:dyDescent="0.25">
      <c r="B9" s="220" t="s">
        <v>169</v>
      </c>
    </row>
    <row r="10" spans="1:12" s="116" customFormat="1" ht="14.4" x14ac:dyDescent="0.2"/>
    <row r="11" spans="1:12" s="116" customFormat="1" ht="14.4" x14ac:dyDescent="0.2">
      <c r="B11" s="117" t="s">
        <v>154</v>
      </c>
    </row>
    <row r="12" spans="1:12" s="116" customFormat="1" ht="15" thickBot="1" x14ac:dyDescent="0.25">
      <c r="B12" s="228"/>
      <c r="C12" s="229" t="s">
        <v>52</v>
      </c>
      <c r="D12" s="230" t="s">
        <v>163</v>
      </c>
      <c r="E12" s="230" t="s">
        <v>155</v>
      </c>
      <c r="F12" s="230" t="s">
        <v>156</v>
      </c>
      <c r="G12" s="230" t="s">
        <v>157</v>
      </c>
    </row>
    <row r="13" spans="1:12" s="116" customFormat="1" ht="14.4" x14ac:dyDescent="0.2">
      <c r="B13" s="231" t="s">
        <v>30</v>
      </c>
      <c r="C13" s="232"/>
      <c r="D13" s="233"/>
      <c r="E13" s="234"/>
      <c r="F13" s="234"/>
      <c r="G13" s="235"/>
    </row>
    <row r="14" spans="1:12" s="116" customFormat="1" ht="14.4" x14ac:dyDescent="0.2">
      <c r="B14" s="231" t="s">
        <v>47</v>
      </c>
      <c r="C14" s="236"/>
      <c r="D14" s="237"/>
      <c r="E14" s="238"/>
      <c r="F14" s="238"/>
      <c r="G14" s="239"/>
    </row>
    <row r="15" spans="1:12" s="116" customFormat="1" ht="14.4" x14ac:dyDescent="0.2">
      <c r="B15" s="231" t="s">
        <v>47</v>
      </c>
      <c r="C15" s="236"/>
      <c r="D15" s="237"/>
      <c r="E15" s="238"/>
      <c r="F15" s="238"/>
      <c r="G15" s="239"/>
    </row>
    <row r="16" spans="1:12" s="116" customFormat="1" ht="14.4" x14ac:dyDescent="0.2">
      <c r="B16" s="231" t="s">
        <v>47</v>
      </c>
      <c r="C16" s="236"/>
      <c r="D16" s="237"/>
      <c r="E16" s="238"/>
      <c r="F16" s="238"/>
      <c r="G16" s="239"/>
    </row>
    <row r="17" spans="1:10" s="116" customFormat="1" ht="15" thickBot="1" x14ac:dyDescent="0.25">
      <c r="B17" s="231" t="s">
        <v>47</v>
      </c>
      <c r="C17" s="240"/>
      <c r="D17" s="241"/>
      <c r="E17" s="242"/>
      <c r="F17" s="242"/>
      <c r="G17" s="243"/>
    </row>
    <row r="18" spans="1:10" hidden="1" x14ac:dyDescent="0.2">
      <c r="B18" s="212" t="s">
        <v>47</v>
      </c>
      <c r="C18" s="215"/>
      <c r="D18" s="120"/>
      <c r="E18" s="216"/>
      <c r="F18" s="216"/>
      <c r="G18" s="217"/>
    </row>
    <row r="19" spans="1:10" hidden="1" x14ac:dyDescent="0.2">
      <c r="B19" s="212" t="s">
        <v>47</v>
      </c>
      <c r="C19" s="213"/>
      <c r="D19" s="121"/>
      <c r="E19" s="207"/>
      <c r="F19" s="207"/>
      <c r="G19" s="208"/>
    </row>
    <row r="20" spans="1:10" hidden="1" x14ac:dyDescent="0.2">
      <c r="B20" s="212" t="s">
        <v>47</v>
      </c>
      <c r="C20" s="213"/>
      <c r="D20" s="121"/>
      <c r="E20" s="207"/>
      <c r="F20" s="207"/>
      <c r="G20" s="208"/>
    </row>
    <row r="21" spans="1:10" ht="13.8" hidden="1" thickBot="1" x14ac:dyDescent="0.25">
      <c r="B21" s="212" t="s">
        <v>47</v>
      </c>
      <c r="C21" s="214"/>
      <c r="D21" s="209"/>
      <c r="E21" s="210"/>
      <c r="F21" s="210"/>
      <c r="G21" s="211"/>
    </row>
    <row r="23" spans="1:10" ht="16.2" x14ac:dyDescent="0.2">
      <c r="A23" s="264" t="s">
        <v>158</v>
      </c>
      <c r="B23" s="265"/>
      <c r="C23" s="266"/>
      <c r="D23" s="258" t="s">
        <v>159</v>
      </c>
      <c r="E23" s="259"/>
      <c r="F23" s="259"/>
      <c r="G23" s="260"/>
      <c r="H23" s="261" t="s">
        <v>170</v>
      </c>
      <c r="I23" s="262"/>
      <c r="J23" s="263"/>
    </row>
    <row r="24" spans="1:10" ht="16.2" x14ac:dyDescent="0.2">
      <c r="A24" s="254">
        <f>試算一覧表!AE49</f>
        <v>0</v>
      </c>
      <c r="B24" s="255"/>
      <c r="C24" s="252" t="s">
        <v>0</v>
      </c>
      <c r="D24" s="251" t="s">
        <v>160</v>
      </c>
      <c r="E24" s="252"/>
      <c r="F24" s="118">
        <f>試算一覧表!AK30</f>
        <v>0</v>
      </c>
      <c r="G24" s="119" t="s">
        <v>0</v>
      </c>
      <c r="H24" s="253" t="str">
        <f>基礎計算!O2</f>
        <v>7割</v>
      </c>
      <c r="I24" s="253"/>
      <c r="J24" s="253"/>
    </row>
    <row r="25" spans="1:10" ht="16.2" x14ac:dyDescent="0.2">
      <c r="A25" s="254"/>
      <c r="B25" s="255"/>
      <c r="C25" s="252"/>
      <c r="D25" s="251" t="s">
        <v>161</v>
      </c>
      <c r="E25" s="252"/>
      <c r="F25" s="118">
        <f>試算一覧表!AK35</f>
        <v>0</v>
      </c>
      <c r="G25" s="119" t="s">
        <v>0</v>
      </c>
      <c r="H25" s="253"/>
      <c r="I25" s="253"/>
      <c r="J25" s="253"/>
    </row>
    <row r="26" spans="1:10" ht="16.2" x14ac:dyDescent="0.2">
      <c r="A26" s="254"/>
      <c r="B26" s="255"/>
      <c r="C26" s="252"/>
      <c r="D26" s="251" t="s">
        <v>162</v>
      </c>
      <c r="E26" s="252"/>
      <c r="F26" s="118">
        <f>試算一覧表!AK40</f>
        <v>0</v>
      </c>
      <c r="G26" s="119" t="s">
        <v>0</v>
      </c>
      <c r="H26" s="253"/>
      <c r="I26" s="253"/>
      <c r="J26" s="253"/>
    </row>
    <row r="27" spans="1:10" ht="16.2" x14ac:dyDescent="0.2">
      <c r="A27" s="254"/>
      <c r="B27" s="255"/>
      <c r="C27" s="252"/>
      <c r="D27" s="251" t="s">
        <v>175</v>
      </c>
      <c r="E27" s="252"/>
      <c r="F27" s="118">
        <f>試算一覧表!AK46</f>
        <v>0</v>
      </c>
      <c r="G27" s="119" t="s">
        <v>0</v>
      </c>
      <c r="H27" s="253"/>
      <c r="I27" s="253"/>
      <c r="J27" s="253"/>
    </row>
    <row r="28" spans="1:10" s="116" customFormat="1" ht="14.4" x14ac:dyDescent="0.2"/>
    <row r="29" spans="1:10" s="116" customFormat="1" ht="14.4" x14ac:dyDescent="0.2"/>
    <row r="30" spans="1:10" s="116" customFormat="1" ht="14.4" x14ac:dyDescent="0.2">
      <c r="A30" s="116" t="s">
        <v>171</v>
      </c>
    </row>
    <row r="31" spans="1:10" s="116" customFormat="1" ht="14.4" x14ac:dyDescent="0.2">
      <c r="A31" s="116" t="s">
        <v>199</v>
      </c>
    </row>
    <row r="32" spans="1:10" s="116" customFormat="1" ht="14.4" x14ac:dyDescent="0.2">
      <c r="A32" s="116" t="s">
        <v>200</v>
      </c>
    </row>
    <row r="33" spans="1:1" s="116" customFormat="1" ht="14.4" x14ac:dyDescent="0.2">
      <c r="A33" s="116" t="s">
        <v>172</v>
      </c>
    </row>
  </sheetData>
  <sheetProtection algorithmName="SHA-512" hashValue="zZ3DX37Y7NgUILTSMAshetleej767EWPJGOuj2CQLmnOEcK8+D/D88VQuD+q125hPJQwML+VaIriJsvxwDhsdA==" saltValue="VOS9xRyAa+5yhktLMnE/NQ==" spinCount="100000" sheet="1" objects="1" scenarios="1"/>
  <mergeCells count="13">
    <mergeCell ref="A1:J1"/>
    <mergeCell ref="D27:E27"/>
    <mergeCell ref="H24:J27"/>
    <mergeCell ref="C24:C27"/>
    <mergeCell ref="A24:B27"/>
    <mergeCell ref="B7:C7"/>
    <mergeCell ref="B8:C8"/>
    <mergeCell ref="D23:G23"/>
    <mergeCell ref="H23:J23"/>
    <mergeCell ref="D24:E24"/>
    <mergeCell ref="D25:E25"/>
    <mergeCell ref="D26:E26"/>
    <mergeCell ref="A23:C23"/>
  </mergeCells>
  <phoneticPr fontId="2"/>
  <dataValidations count="3">
    <dataValidation allowBlank="1" showInputMessage="1" showErrorMessage="1" prompt="給与・年金以外の所得の合計額を入力してください" sqref="G13:G21" xr:uid="{00000000-0002-0000-0000-000000000000}"/>
    <dataValidation allowBlank="1" showInputMessage="1" showErrorMessage="1" prompt="年金収入額は必ずここで入力してください_x000a_年金収入がない場合は0と入力してください" sqref="F13:F21" xr:uid="{00000000-0002-0000-0000-000001000000}"/>
    <dataValidation allowBlank="1" showInputMessage="1" showErrorMessage="1" prompt="給与収入額を入力してください" sqref="E13:E21" xr:uid="{00000000-0002-0000-0000-000002000000}"/>
  </dataValidations>
  <printOptions horizontalCentered="1"/>
  <pageMargins left="0.51181102362204722" right="0.51181102362204722" top="0.55118110236220474" bottom="0.55118110236220474"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18歳に達する年度までは「該当」と選択して下さい" xr:uid="{00000000-0002-0000-0000-000003000000}">
          <x14:formula1>
            <xm:f>区分リスト!$I$2</xm:f>
          </x14:formula1>
          <xm:sqref>D13:D21</xm:sqref>
        </x14:dataValidation>
        <x14:dataValidation type="list" allowBlank="1" showInputMessage="1" showErrorMessage="1" prompt="加入者の年齢を選択してください" xr:uid="{00000000-0002-0000-0000-000004000000}">
          <x14:formula1>
            <xm:f>区分リスト!$B$2:$B$4</xm:f>
          </x14:formula1>
          <xm:sqref>C13:C21</xm:sqref>
        </x14:dataValidation>
        <x14:dataValidation type="list" allowBlank="1" showInputMessage="1" showErrorMessage="1" prompt="必ず選択してください" xr:uid="{00000000-0002-0000-0000-000005000000}">
          <x14:formula1>
            <xm:f>区分リスト!$J$2:$J$3</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R52"/>
  <sheetViews>
    <sheetView zoomScaleNormal="100" workbookViewId="0">
      <selection activeCell="E5" sqref="E5"/>
    </sheetView>
  </sheetViews>
  <sheetFormatPr defaultRowHeight="13.2" x14ac:dyDescent="0.2"/>
  <cols>
    <col min="1" max="1" width="7.5546875" bestFit="1" customWidth="1"/>
    <col min="2" max="2" width="7.88671875" customWidth="1"/>
    <col min="3" max="3" width="5.33203125" customWidth="1"/>
    <col min="4" max="4" width="7.6640625" customWidth="1"/>
    <col min="5" max="5" width="10.33203125" bestFit="1" customWidth="1"/>
    <col min="6" max="6" width="12" customWidth="1"/>
    <col min="7" max="7" width="12.88671875" bestFit="1" customWidth="1"/>
    <col min="8" max="8" width="10.33203125" bestFit="1" customWidth="1"/>
    <col min="9" max="9" width="9.21875" bestFit="1" customWidth="1"/>
    <col min="10" max="10" width="10.21875" bestFit="1" customWidth="1"/>
    <col min="11" max="11" width="10.21875" customWidth="1"/>
    <col min="12" max="12" width="9.21875" bestFit="1" customWidth="1"/>
    <col min="13" max="13" width="11.109375" customWidth="1"/>
    <col min="14" max="18" width="11.21875" customWidth="1"/>
  </cols>
  <sheetData>
    <row r="1" spans="1:18" ht="6" customHeight="1" thickBot="1" x14ac:dyDescent="0.25"/>
    <row r="2" spans="1:18" ht="19.8" thickBot="1" x14ac:dyDescent="0.3">
      <c r="B2" s="69" t="s">
        <v>133</v>
      </c>
      <c r="C2" s="70">
        <v>8</v>
      </c>
      <c r="D2" s="71" t="s">
        <v>80</v>
      </c>
      <c r="E2" s="72" t="s">
        <v>81</v>
      </c>
      <c r="F2" s="73"/>
      <c r="G2" s="73"/>
      <c r="H2" s="56"/>
      <c r="J2" s="313" t="s">
        <v>83</v>
      </c>
      <c r="K2" s="313"/>
      <c r="L2" s="314" t="s">
        <v>131</v>
      </c>
      <c r="M2" s="314"/>
    </row>
    <row r="3" spans="1:18" ht="24" customHeight="1" thickBot="1" x14ac:dyDescent="0.25">
      <c r="B3" s="54" t="s">
        <v>107</v>
      </c>
      <c r="C3" s="52"/>
      <c r="D3" s="51"/>
      <c r="E3" s="39"/>
      <c r="F3" s="39"/>
      <c r="G3" s="39"/>
      <c r="J3" s="53"/>
      <c r="K3" s="53"/>
      <c r="L3" s="53"/>
      <c r="M3" s="53"/>
    </row>
    <row r="4" spans="1:18" ht="16.5" customHeight="1" thickBot="1" x14ac:dyDescent="0.25">
      <c r="B4" s="192" t="s">
        <v>112</v>
      </c>
      <c r="C4" s="78" t="s">
        <v>124</v>
      </c>
      <c r="D4" s="79"/>
      <c r="E4" s="79"/>
      <c r="F4" s="79"/>
      <c r="G4" s="79"/>
      <c r="H4" s="79"/>
      <c r="I4" s="79"/>
      <c r="J4" s="53"/>
      <c r="K4" s="53"/>
      <c r="L4" s="53"/>
      <c r="M4" s="53"/>
    </row>
    <row r="5" spans="1:18" ht="16.8" thickBot="1" x14ac:dyDescent="0.25">
      <c r="B5" s="193" t="s">
        <v>112</v>
      </c>
      <c r="C5" s="93" t="s">
        <v>119</v>
      </c>
      <c r="D5" s="51"/>
      <c r="E5" s="39"/>
      <c r="F5" s="39"/>
      <c r="G5" s="39"/>
      <c r="J5" s="53"/>
      <c r="K5" s="53"/>
      <c r="L5" s="53"/>
      <c r="M5" s="53"/>
    </row>
    <row r="6" spans="1:18" ht="16.2" x14ac:dyDescent="0.2">
      <c r="B6" s="74"/>
      <c r="C6" s="84" t="s">
        <v>135</v>
      </c>
      <c r="D6" s="51"/>
      <c r="E6" s="39"/>
      <c r="F6" s="39"/>
      <c r="G6" s="39"/>
      <c r="J6" s="53"/>
      <c r="K6" s="53"/>
      <c r="L6" s="53"/>
      <c r="M6" s="97"/>
      <c r="N6" s="24"/>
      <c r="O6" s="24"/>
    </row>
    <row r="7" spans="1:18" ht="16.2" x14ac:dyDescent="0.2">
      <c r="B7" s="74"/>
      <c r="C7" s="84" t="str">
        <f>B10&amp;C10</f>
        <v>世帯主</v>
      </c>
      <c r="D7" s="51"/>
      <c r="E7" s="39"/>
      <c r="F7" s="39"/>
      <c r="G7" s="39"/>
      <c r="J7" s="53"/>
      <c r="K7" s="53"/>
      <c r="L7" s="53"/>
      <c r="M7" s="97"/>
      <c r="N7" s="24"/>
      <c r="O7" s="24"/>
    </row>
    <row r="8" spans="1:18" s="247" customFormat="1" ht="21" customHeight="1" x14ac:dyDescent="0.2">
      <c r="A8" s="306" t="s">
        <v>191</v>
      </c>
      <c r="B8" s="308" t="s">
        <v>192</v>
      </c>
      <c r="C8" s="308" t="s">
        <v>85</v>
      </c>
      <c r="D8" s="302" t="s">
        <v>193</v>
      </c>
      <c r="E8" s="302" t="s">
        <v>198</v>
      </c>
      <c r="F8" s="310" t="s">
        <v>194</v>
      </c>
      <c r="G8" s="311"/>
      <c r="H8" s="312" t="s">
        <v>195</v>
      </c>
      <c r="I8" s="312"/>
      <c r="J8" s="312" t="s">
        <v>28</v>
      </c>
      <c r="K8" s="312"/>
      <c r="L8" s="312" t="s">
        <v>29</v>
      </c>
      <c r="M8" s="312"/>
      <c r="N8" s="302" t="s">
        <v>146</v>
      </c>
      <c r="O8" s="308" t="s">
        <v>197</v>
      </c>
      <c r="P8" s="302" t="s">
        <v>196</v>
      </c>
      <c r="Q8" s="315" t="s">
        <v>33</v>
      </c>
      <c r="R8" s="302" t="s">
        <v>89</v>
      </c>
    </row>
    <row r="9" spans="1:18" s="247" customFormat="1" ht="26.4" x14ac:dyDescent="0.2">
      <c r="A9" s="307"/>
      <c r="B9" s="308"/>
      <c r="C9" s="308"/>
      <c r="D9" s="309"/>
      <c r="E9" s="309"/>
      <c r="F9" s="244" t="s">
        <v>44</v>
      </c>
      <c r="G9" s="245" t="s">
        <v>123</v>
      </c>
      <c r="H9" s="244" t="s">
        <v>44</v>
      </c>
      <c r="I9" s="246" t="s">
        <v>45</v>
      </c>
      <c r="J9" s="244" t="s">
        <v>43</v>
      </c>
      <c r="K9" s="244" t="s">
        <v>45</v>
      </c>
      <c r="L9" s="244" t="s">
        <v>43</v>
      </c>
      <c r="M9" s="244" t="s">
        <v>45</v>
      </c>
      <c r="N9" s="303"/>
      <c r="O9" s="308"/>
      <c r="P9" s="309"/>
      <c r="Q9" s="303"/>
      <c r="R9" s="303"/>
    </row>
    <row r="10" spans="1:18" s="248" customFormat="1" ht="15" customHeight="1" x14ac:dyDescent="0.2">
      <c r="A10" s="295"/>
      <c r="B10" s="296" t="str">
        <f>IF(HP入力フォーム!B9="はい","世帯主","世帯主(擬)")</f>
        <v>世帯主</v>
      </c>
      <c r="C10" s="298" t="str">
        <f>IF(HP入力フォーム!C13="","",HP入力フォーム!C13)</f>
        <v/>
      </c>
      <c r="D10" s="304" t="str">
        <f>IF(HP入力フォーム!D13="","",HP入力フォーム!D13)</f>
        <v/>
      </c>
      <c r="E10" s="304" t="str">
        <f>IF(OR(550000&lt;HP入力フォーム!E13,(IF(HP入力フォーム!C13="65歳～",1100000,600000))&lt;HP入力フォーム!F13),"該当","")</f>
        <v/>
      </c>
      <c r="F10" s="293">
        <f>HP入力フォーム!E13</f>
        <v>0</v>
      </c>
      <c r="G10" s="227" t="str">
        <f>IF(F10&lt;1900000,基礎計算!$H$2,IF($F$10&gt;1899999,基礎計算!$H$3))</f>
        <v>0</v>
      </c>
      <c r="H10" s="293">
        <f>HP入力フォーム!F13</f>
        <v>0</v>
      </c>
      <c r="I10" s="267">
        <f>IF(基礎計算!$K$5&lt;0,0,基礎計算!$K$5)</f>
        <v>0</v>
      </c>
      <c r="J10" s="271"/>
      <c r="K10" s="273">
        <f>HP入力フォーム!G13</f>
        <v>0</v>
      </c>
      <c r="L10" s="271"/>
      <c r="M10" s="273"/>
      <c r="N10" s="289">
        <f>G11+I10+K10+M10-基礎計算!R23</f>
        <v>0</v>
      </c>
      <c r="O10" s="269">
        <f>IF(C10="65歳～",IF($I10&gt;150000,150000,$I10),0)</f>
        <v>0</v>
      </c>
      <c r="P10" s="269">
        <f>N10-O10</f>
        <v>0</v>
      </c>
      <c r="Q10" s="267">
        <f>IF(B10="世帯主(擬)",0,IF(N10&lt;430000,N10,430000))</f>
        <v>0</v>
      </c>
      <c r="R10" s="269">
        <f>IF(B10="世帯主(擬)",0,N10-Q10)</f>
        <v>0</v>
      </c>
    </row>
    <row r="11" spans="1:18" s="248" customFormat="1" x14ac:dyDescent="0.2">
      <c r="A11" s="295"/>
      <c r="B11" s="297"/>
      <c r="C11" s="297"/>
      <c r="D11" s="305"/>
      <c r="E11" s="305"/>
      <c r="F11" s="294"/>
      <c r="G11" s="191" t="str">
        <f>IF(A10="失業",G10*0.3,G10)</f>
        <v>0</v>
      </c>
      <c r="H11" s="294"/>
      <c r="I11" s="268"/>
      <c r="J11" s="272"/>
      <c r="K11" s="274"/>
      <c r="L11" s="272"/>
      <c r="M11" s="274"/>
      <c r="N11" s="290"/>
      <c r="O11" s="270"/>
      <c r="P11" s="270"/>
      <c r="Q11" s="268"/>
      <c r="R11" s="270"/>
    </row>
    <row r="12" spans="1:18" ht="15" customHeight="1" x14ac:dyDescent="0.2">
      <c r="A12" s="295"/>
      <c r="B12" s="296" t="str">
        <f>IF(HP入力フォーム!C14="","","員")</f>
        <v/>
      </c>
      <c r="C12" s="298" t="str">
        <f>IF(HP入力フォーム!C14="","",HP入力フォーム!C14)</f>
        <v/>
      </c>
      <c r="D12" s="301" t="str">
        <f>IF(HP入力フォーム!D14="","",HP入力フォーム!D14)</f>
        <v/>
      </c>
      <c r="E12" s="301" t="str">
        <f>IF(OR(550000&lt;HP入力フォーム!E14,(IF(HP入力フォーム!C14="65歳～",1100000,600000))&lt;HP入力フォーム!F14),"該当","")</f>
        <v/>
      </c>
      <c r="F12" s="291">
        <f>HP入力フォーム!E14</f>
        <v>0</v>
      </c>
      <c r="G12" s="95" t="str">
        <f>IF(F12&lt;1900000,基礎計算!$H$12,IF($F$12&gt;1899999,基礎計算!$H$13))</f>
        <v>0</v>
      </c>
      <c r="H12" s="293">
        <f>HP入力フォーム!F14</f>
        <v>0</v>
      </c>
      <c r="I12" s="267">
        <f>IF(基礎計算!$K$15&lt;0,0,基礎計算!$K$15)</f>
        <v>0</v>
      </c>
      <c r="J12" s="271"/>
      <c r="K12" s="273">
        <f>HP入力フォーム!G14</f>
        <v>0</v>
      </c>
      <c r="L12" s="271"/>
      <c r="M12" s="273"/>
      <c r="N12" s="316">
        <f>G13+I12+K12+M12-基礎計算!R25</f>
        <v>0</v>
      </c>
      <c r="O12" s="269">
        <f>IF(C12="65歳～",IF($I12&gt;150000,150000,$I12),0)</f>
        <v>0</v>
      </c>
      <c r="P12" s="269">
        <f>N12-O12</f>
        <v>0</v>
      </c>
      <c r="Q12" s="267">
        <f>IF(N12&lt;430000,N12,430000)</f>
        <v>0</v>
      </c>
      <c r="R12" s="269">
        <f t="shared" ref="R12:R26" si="0">N12-Q12</f>
        <v>0</v>
      </c>
    </row>
    <row r="13" spans="1:18" x14ac:dyDescent="0.2">
      <c r="A13" s="295"/>
      <c r="B13" s="297"/>
      <c r="C13" s="297"/>
      <c r="D13" s="300"/>
      <c r="E13" s="300"/>
      <c r="F13" s="292"/>
      <c r="G13" s="77" t="str">
        <f>IF(A12="失業",G12*0.3,G12)</f>
        <v>0</v>
      </c>
      <c r="H13" s="294"/>
      <c r="I13" s="268"/>
      <c r="J13" s="272"/>
      <c r="K13" s="274"/>
      <c r="L13" s="272"/>
      <c r="M13" s="274"/>
      <c r="N13" s="317"/>
      <c r="O13" s="270"/>
      <c r="P13" s="270"/>
      <c r="Q13" s="268"/>
      <c r="R13" s="270"/>
    </row>
    <row r="14" spans="1:18" ht="13.5" customHeight="1" x14ac:dyDescent="0.2">
      <c r="A14" s="295"/>
      <c r="B14" s="296" t="str">
        <f>IF(HP入力フォーム!C15="","","員")</f>
        <v/>
      </c>
      <c r="C14" s="298" t="str">
        <f>IF(HP入力フォーム!C15="","",HP入力フォーム!C15)</f>
        <v/>
      </c>
      <c r="D14" s="299" t="str">
        <f>IF(HP入力フォーム!D15="","",HP入力フォーム!D15)</f>
        <v/>
      </c>
      <c r="E14" s="301" t="str">
        <f>IF(OR(550000&lt;HP入力フォーム!E15,(IF(HP入力フォーム!C15="65歳～",1100000,600000))&lt;HP入力フォーム!F15),"該当","")</f>
        <v/>
      </c>
      <c r="F14" s="291">
        <f>HP入力フォーム!E15</f>
        <v>0</v>
      </c>
      <c r="G14" s="95" t="str">
        <f>IF(F14&lt;1900000,基礎計算!$H$22,IF($F$14&gt;1899999,基礎計算!$H$23))</f>
        <v>0</v>
      </c>
      <c r="H14" s="293">
        <f>HP入力フォーム!F15</f>
        <v>0</v>
      </c>
      <c r="I14" s="267">
        <f>IF(基礎計算!$K$25&lt;0,0,基礎計算!$K$25)</f>
        <v>0</v>
      </c>
      <c r="J14" s="271"/>
      <c r="K14" s="273">
        <f>HP入力フォーム!G15</f>
        <v>0</v>
      </c>
      <c r="L14" s="271"/>
      <c r="M14" s="273"/>
      <c r="N14" s="289">
        <f>G15+I14+K14+M14-基礎計算!R27</f>
        <v>0</v>
      </c>
      <c r="O14" s="269">
        <f>IF(C14="65歳～",IF($I14&gt;150000,150000,$I14),0)</f>
        <v>0</v>
      </c>
      <c r="P14" s="269">
        <f t="shared" ref="P14:P26" si="1">N14-O14</f>
        <v>0</v>
      </c>
      <c r="Q14" s="267">
        <f>IF(N14&lt;430000,N14,430000)</f>
        <v>0</v>
      </c>
      <c r="R14" s="269">
        <f t="shared" si="0"/>
        <v>0</v>
      </c>
    </row>
    <row r="15" spans="1:18" x14ac:dyDescent="0.2">
      <c r="A15" s="295"/>
      <c r="B15" s="297"/>
      <c r="C15" s="297"/>
      <c r="D15" s="300"/>
      <c r="E15" s="300"/>
      <c r="F15" s="292"/>
      <c r="G15" s="77" t="str">
        <f>IF(A14="失業",G14*0.3,G14)</f>
        <v>0</v>
      </c>
      <c r="H15" s="294"/>
      <c r="I15" s="268"/>
      <c r="J15" s="272"/>
      <c r="K15" s="274"/>
      <c r="L15" s="272"/>
      <c r="M15" s="274"/>
      <c r="N15" s="290"/>
      <c r="O15" s="270"/>
      <c r="P15" s="270"/>
      <c r="Q15" s="268"/>
      <c r="R15" s="270"/>
    </row>
    <row r="16" spans="1:18" ht="13.5" customHeight="1" x14ac:dyDescent="0.2">
      <c r="A16" s="295"/>
      <c r="B16" s="296" t="str">
        <f>IF(HP入力フォーム!C16="","","員")</f>
        <v/>
      </c>
      <c r="C16" s="298" t="str">
        <f>IF(HP入力フォーム!C16="","",HP入力フォーム!C16)</f>
        <v/>
      </c>
      <c r="D16" s="299" t="str">
        <f>IF(HP入力フォーム!D16="","",HP入力フォーム!D16)</f>
        <v/>
      </c>
      <c r="E16" s="301" t="str">
        <f>IF(OR(550000&lt;HP入力フォーム!E16,(IF(HP入力フォーム!C16="65歳～",1100000,600000))&lt;HP入力フォーム!F16),"該当","")</f>
        <v/>
      </c>
      <c r="F16" s="291">
        <f>HP入力フォーム!E16</f>
        <v>0</v>
      </c>
      <c r="G16" s="95" t="str">
        <f>IF(F16&lt;1900000,基礎計算!$H$32,IF($F$16&gt;1899999,基礎計算!$H$33))</f>
        <v>0</v>
      </c>
      <c r="H16" s="293">
        <f>HP入力フォーム!F16</f>
        <v>0</v>
      </c>
      <c r="I16" s="267">
        <f>IF(基礎計算!$K$35&lt;0,0,基礎計算!$K$35)</f>
        <v>0</v>
      </c>
      <c r="J16" s="271"/>
      <c r="K16" s="273">
        <f>HP入力フォーム!G16</f>
        <v>0</v>
      </c>
      <c r="L16" s="271"/>
      <c r="M16" s="273"/>
      <c r="N16" s="289">
        <f>G17+I16+K16+M16-基礎計算!R29</f>
        <v>0</v>
      </c>
      <c r="O16" s="269">
        <f>IF(C16="65歳～",IF($I16&gt;150000,150000,$I16),0)</f>
        <v>0</v>
      </c>
      <c r="P16" s="269">
        <f t="shared" si="1"/>
        <v>0</v>
      </c>
      <c r="Q16" s="267">
        <f>IF(N16&lt;430000,N16,430000)</f>
        <v>0</v>
      </c>
      <c r="R16" s="269">
        <f t="shared" si="0"/>
        <v>0</v>
      </c>
    </row>
    <row r="17" spans="1:18" ht="15" customHeight="1" x14ac:dyDescent="0.2">
      <c r="A17" s="295"/>
      <c r="B17" s="297"/>
      <c r="C17" s="297"/>
      <c r="D17" s="300"/>
      <c r="E17" s="300"/>
      <c r="F17" s="292"/>
      <c r="G17" s="77" t="str">
        <f>IF(A16="失業",G16*0.3,G16)</f>
        <v>0</v>
      </c>
      <c r="H17" s="294"/>
      <c r="I17" s="268"/>
      <c r="J17" s="272"/>
      <c r="K17" s="274"/>
      <c r="L17" s="272"/>
      <c r="M17" s="274"/>
      <c r="N17" s="290"/>
      <c r="O17" s="270"/>
      <c r="P17" s="270"/>
      <c r="Q17" s="268"/>
      <c r="R17" s="270"/>
    </row>
    <row r="18" spans="1:18" ht="15" customHeight="1" x14ac:dyDescent="0.2">
      <c r="A18" s="295"/>
      <c r="B18" s="296" t="str">
        <f>IF(HP入力フォーム!C17="","","員")</f>
        <v/>
      </c>
      <c r="C18" s="298" t="str">
        <f>IF(HP入力フォーム!C17="","",HP入力フォーム!C17)</f>
        <v/>
      </c>
      <c r="D18" s="301" t="str">
        <f>IF(HP入力フォーム!D17="","",HP入力フォーム!D17)</f>
        <v/>
      </c>
      <c r="E18" s="301" t="str">
        <f>IF(OR(550000&lt;HP入力フォーム!E17,(IF(HP入力フォーム!C17="65歳～",1100000,600000))&lt;HP入力フォーム!F17),"該当","")</f>
        <v/>
      </c>
      <c r="F18" s="291">
        <f>HP入力フォーム!E17</f>
        <v>0</v>
      </c>
      <c r="G18" s="113" t="str">
        <f>IF(F18&lt;1900000,基礎計算!$H$42,IF($F$18&gt;1899999,基礎計算!$H$43))</f>
        <v>0</v>
      </c>
      <c r="H18" s="293">
        <f>HP入力フォーム!F17</f>
        <v>0</v>
      </c>
      <c r="I18" s="267">
        <f>IF(基礎計算!$K$45&lt;0,0,基礎計算!$K$45)</f>
        <v>0</v>
      </c>
      <c r="J18" s="271"/>
      <c r="K18" s="273">
        <f>HP入力フォーム!G17</f>
        <v>0</v>
      </c>
      <c r="L18" s="271"/>
      <c r="M18" s="273"/>
      <c r="N18" s="289">
        <f>G19+I18+K18+M18-基礎計算!R31</f>
        <v>0</v>
      </c>
      <c r="O18" s="269">
        <f>IF(C18="65歳～",IF($I18&gt;150000,150000,$I18),0)</f>
        <v>0</v>
      </c>
      <c r="P18" s="269">
        <f t="shared" ref="P18" si="2">N18-O18</f>
        <v>0</v>
      </c>
      <c r="Q18" s="267">
        <f>IF(N18&lt;430000,N18,430000)</f>
        <v>0</v>
      </c>
      <c r="R18" s="269">
        <f t="shared" ref="R18" si="3">N18-Q18</f>
        <v>0</v>
      </c>
    </row>
    <row r="19" spans="1:18" ht="13.5" customHeight="1" x14ac:dyDescent="0.2">
      <c r="A19" s="295"/>
      <c r="B19" s="297"/>
      <c r="C19" s="297"/>
      <c r="D19" s="300"/>
      <c r="E19" s="300"/>
      <c r="F19" s="292"/>
      <c r="G19" s="77" t="str">
        <f>IF(A18="失業",G18*0.3,G18)</f>
        <v>0</v>
      </c>
      <c r="H19" s="294"/>
      <c r="I19" s="268"/>
      <c r="J19" s="272"/>
      <c r="K19" s="274"/>
      <c r="L19" s="272"/>
      <c r="M19" s="274"/>
      <c r="N19" s="290"/>
      <c r="O19" s="270"/>
      <c r="P19" s="270"/>
      <c r="Q19" s="268"/>
      <c r="R19" s="270"/>
    </row>
    <row r="20" spans="1:18" ht="15" hidden="1" customHeight="1" x14ac:dyDescent="0.2">
      <c r="A20" s="295"/>
      <c r="B20" s="296" t="str">
        <f>IF(HP入力フォーム!C18="","","員")</f>
        <v/>
      </c>
      <c r="C20" s="298" t="str">
        <f>IF(HP入力フォーム!C18="","",HP入力フォーム!C18)</f>
        <v/>
      </c>
      <c r="D20" s="301" t="str">
        <f>IF(HP入力フォーム!D18="","",HP入力フォーム!D18)</f>
        <v/>
      </c>
      <c r="E20" s="301" t="str">
        <f>IF(OR(550000&lt;HP入力フォーム!E18,(IF(HP入力フォーム!C18="65歳～",1100000,600000))&lt;HP入力フォーム!F18),"該当","")</f>
        <v/>
      </c>
      <c r="F20" s="291">
        <f>HP入力フォーム!E18</f>
        <v>0</v>
      </c>
      <c r="G20" s="113" t="str">
        <f>IF(F20&lt;1628000,基礎計算!$H$52,IF($F$20&gt;1627999,基礎計算!$H$53))</f>
        <v>0</v>
      </c>
      <c r="H20" s="293">
        <f>HP入力フォーム!F18</f>
        <v>0</v>
      </c>
      <c r="I20" s="267">
        <f>IF(基礎計算!$K$55&lt;0,0,基礎計算!$K$55)</f>
        <v>0</v>
      </c>
      <c r="J20" s="271"/>
      <c r="K20" s="273">
        <f>HP入力フォーム!G18</f>
        <v>0</v>
      </c>
      <c r="L20" s="271"/>
      <c r="M20" s="273"/>
      <c r="N20" s="289">
        <f>G21+I20+K20+M20-基礎計算!R33</f>
        <v>0</v>
      </c>
      <c r="O20" s="269">
        <f>IF(C20="65歳～",IF($I20&gt;150000,150000,$I20),0)</f>
        <v>0</v>
      </c>
      <c r="P20" s="269">
        <f t="shared" ref="P20" si="4">N20-O20</f>
        <v>0</v>
      </c>
      <c r="Q20" s="267">
        <f>IF(N20&lt;430000,N20,430000)</f>
        <v>0</v>
      </c>
      <c r="R20" s="269">
        <f t="shared" ref="R20" si="5">N20-Q20</f>
        <v>0</v>
      </c>
    </row>
    <row r="21" spans="1:18" ht="13.5" hidden="1" customHeight="1" x14ac:dyDescent="0.2">
      <c r="A21" s="295"/>
      <c r="B21" s="297"/>
      <c r="C21" s="297"/>
      <c r="D21" s="300"/>
      <c r="E21" s="300"/>
      <c r="F21" s="292"/>
      <c r="G21" s="77" t="str">
        <f>IF(A20="失業",G20*0.3,G20)</f>
        <v>0</v>
      </c>
      <c r="H21" s="294"/>
      <c r="I21" s="268"/>
      <c r="J21" s="272"/>
      <c r="K21" s="274"/>
      <c r="L21" s="272"/>
      <c r="M21" s="274"/>
      <c r="N21" s="290"/>
      <c r="O21" s="270"/>
      <c r="P21" s="270"/>
      <c r="Q21" s="268"/>
      <c r="R21" s="270"/>
    </row>
    <row r="22" spans="1:18" ht="15" hidden="1" customHeight="1" x14ac:dyDescent="0.2">
      <c r="A22" s="295"/>
      <c r="B22" s="296" t="str">
        <f>IF(HP入力フォーム!C19="","","員")</f>
        <v/>
      </c>
      <c r="C22" s="298" t="str">
        <f>IF(HP入力フォーム!C19="","",HP入力フォーム!C19)</f>
        <v/>
      </c>
      <c r="D22" s="299" t="str">
        <f>IF(HP入力フォーム!D19="","",HP入力フォーム!D19)</f>
        <v/>
      </c>
      <c r="E22" s="301" t="str">
        <f>IF(OR(550000&lt;HP入力フォーム!E19,(IF(HP入力フォーム!C19="65歳～",1100000,600000))&lt;HP入力フォーム!F19),"該当","")</f>
        <v/>
      </c>
      <c r="F22" s="291">
        <f>HP入力フォーム!E19</f>
        <v>0</v>
      </c>
      <c r="G22" s="113" t="str">
        <f>IF(F22&lt;1628000,基礎計算!$H$62,IF($F$22&gt;1627999,基礎計算!$H$63))</f>
        <v>0</v>
      </c>
      <c r="H22" s="293">
        <f>HP入力フォーム!F19</f>
        <v>0</v>
      </c>
      <c r="I22" s="267">
        <f>IF(基礎計算!$K$65&lt;0,0,基礎計算!$K$65)</f>
        <v>0</v>
      </c>
      <c r="J22" s="271"/>
      <c r="K22" s="273">
        <f>HP入力フォーム!G19</f>
        <v>0</v>
      </c>
      <c r="L22" s="271"/>
      <c r="M22" s="273"/>
      <c r="N22" s="289">
        <f>G23+I22+K22+M22-基礎計算!R35</f>
        <v>0</v>
      </c>
      <c r="O22" s="269">
        <f>IF(C22="65歳～",IF($I22&gt;150000,150000,$I22),0)</f>
        <v>0</v>
      </c>
      <c r="P22" s="269">
        <f t="shared" ref="P22" si="6">N22-O22</f>
        <v>0</v>
      </c>
      <c r="Q22" s="267">
        <f>IF(N22&lt;430000,N22,430000)</f>
        <v>0</v>
      </c>
      <c r="R22" s="269">
        <f t="shared" ref="R22" si="7">N22-Q22</f>
        <v>0</v>
      </c>
    </row>
    <row r="23" spans="1:18" ht="13.5" hidden="1" customHeight="1" x14ac:dyDescent="0.2">
      <c r="A23" s="295"/>
      <c r="B23" s="297"/>
      <c r="C23" s="297"/>
      <c r="D23" s="300"/>
      <c r="E23" s="300"/>
      <c r="F23" s="292"/>
      <c r="G23" s="77" t="str">
        <f>IF(A22="失業",G22*0.3,G22)</f>
        <v>0</v>
      </c>
      <c r="H23" s="294"/>
      <c r="I23" s="268"/>
      <c r="J23" s="272"/>
      <c r="K23" s="274"/>
      <c r="L23" s="272"/>
      <c r="M23" s="274"/>
      <c r="N23" s="290"/>
      <c r="O23" s="270"/>
      <c r="P23" s="270"/>
      <c r="Q23" s="268"/>
      <c r="R23" s="270"/>
    </row>
    <row r="24" spans="1:18" ht="15" hidden="1" customHeight="1" x14ac:dyDescent="0.2">
      <c r="A24" s="295"/>
      <c r="B24" s="296" t="str">
        <f>IF(HP入力フォーム!C20="","","員")</f>
        <v/>
      </c>
      <c r="C24" s="298" t="str">
        <f>IF(HP入力フォーム!C20="","",HP入力フォーム!C20)</f>
        <v/>
      </c>
      <c r="D24" s="299" t="str">
        <f>IF(HP入力フォーム!D20="","",HP入力フォーム!D20)</f>
        <v/>
      </c>
      <c r="E24" s="301" t="str">
        <f>IF(OR(550000&lt;HP入力フォーム!E20,(IF(HP入力フォーム!C20="65歳～",1100000,600000))&lt;HP入力フォーム!F20),"該当","")</f>
        <v/>
      </c>
      <c r="F24" s="291">
        <f>HP入力フォーム!E20</f>
        <v>0</v>
      </c>
      <c r="G24" s="95" t="str">
        <f>IF(F24&lt;1628000,基礎計算!$H$72,IF($F$24&gt;1627999,基礎計算!$H$73))</f>
        <v>0</v>
      </c>
      <c r="H24" s="293">
        <f>HP入力フォーム!F20</f>
        <v>0</v>
      </c>
      <c r="I24" s="267">
        <f>IF(基礎計算!$K$75&lt;0,0,基礎計算!$K$75)</f>
        <v>0</v>
      </c>
      <c r="J24" s="271"/>
      <c r="K24" s="273">
        <f>HP入力フォーム!G20</f>
        <v>0</v>
      </c>
      <c r="L24" s="271"/>
      <c r="M24" s="273"/>
      <c r="N24" s="289">
        <f>G25+I24+K24+M24-基礎計算!R37</f>
        <v>0</v>
      </c>
      <c r="O24" s="269">
        <f>IF(C24="65歳～",IF($I24&gt;150000,150000,$I24),0)</f>
        <v>0</v>
      </c>
      <c r="P24" s="269">
        <f t="shared" si="1"/>
        <v>0</v>
      </c>
      <c r="Q24" s="267">
        <f>IF(N24&lt;430000,N24,430000)</f>
        <v>0</v>
      </c>
      <c r="R24" s="269">
        <f t="shared" si="0"/>
        <v>0</v>
      </c>
    </row>
    <row r="25" spans="1:18" ht="13.5" hidden="1" customHeight="1" x14ac:dyDescent="0.2">
      <c r="A25" s="295"/>
      <c r="B25" s="297"/>
      <c r="C25" s="297"/>
      <c r="D25" s="300"/>
      <c r="E25" s="300"/>
      <c r="F25" s="292"/>
      <c r="G25" s="77" t="str">
        <f>IF(A24="失業",G24*0.3,G24)</f>
        <v>0</v>
      </c>
      <c r="H25" s="294"/>
      <c r="I25" s="268"/>
      <c r="J25" s="272"/>
      <c r="K25" s="274"/>
      <c r="L25" s="272"/>
      <c r="M25" s="274"/>
      <c r="N25" s="290"/>
      <c r="O25" s="270"/>
      <c r="P25" s="270"/>
      <c r="Q25" s="268"/>
      <c r="R25" s="270"/>
    </row>
    <row r="26" spans="1:18" ht="13.5" hidden="1" customHeight="1" x14ac:dyDescent="0.2">
      <c r="A26" s="295"/>
      <c r="B26" s="296" t="str">
        <f>IF(HP入力フォーム!C21="","","員")</f>
        <v/>
      </c>
      <c r="C26" s="298" t="str">
        <f>IF(HP入力フォーム!C21="","",HP入力フォーム!C21)</f>
        <v/>
      </c>
      <c r="D26" s="299" t="str">
        <f>IF(HP入力フォーム!D21="","",HP入力フォーム!D21)</f>
        <v/>
      </c>
      <c r="E26" s="301" t="str">
        <f>IF(OR(550000&lt;HP入力フォーム!E21,(IF(HP入力フォーム!C21="65歳～",1100000,600000))&lt;HP入力フォーム!F21),"該当","")</f>
        <v/>
      </c>
      <c r="F26" s="291">
        <f>HP入力フォーム!E21</f>
        <v>0</v>
      </c>
      <c r="G26" s="95" t="str">
        <f>IF(F26&lt;1628000,基礎計算!$H$82,IF($F$26&gt;1627999,基礎計算!$H$83))</f>
        <v>0</v>
      </c>
      <c r="H26" s="293">
        <f>HP入力フォーム!F21</f>
        <v>0</v>
      </c>
      <c r="I26" s="267">
        <f>IF(基礎計算!$K$85&lt;0,0,基礎計算!$K$85)</f>
        <v>0</v>
      </c>
      <c r="J26" s="271"/>
      <c r="K26" s="273">
        <f>HP入力フォーム!G21</f>
        <v>0</v>
      </c>
      <c r="L26" s="271"/>
      <c r="M26" s="273"/>
      <c r="N26" s="289">
        <f>G27+I26+K26+M26-基礎計算!R39</f>
        <v>0</v>
      </c>
      <c r="O26" s="269">
        <f>IF(C26="65歳～",IF($I26&gt;150000,150000,$I26),0)</f>
        <v>0</v>
      </c>
      <c r="P26" s="269">
        <f t="shared" si="1"/>
        <v>0</v>
      </c>
      <c r="Q26" s="267">
        <f>IF(N26&lt;430000,N26,430000)</f>
        <v>0</v>
      </c>
      <c r="R26" s="269">
        <f t="shared" si="0"/>
        <v>0</v>
      </c>
    </row>
    <row r="27" spans="1:18" hidden="1" x14ac:dyDescent="0.2">
      <c r="A27" s="295"/>
      <c r="B27" s="297"/>
      <c r="C27" s="297"/>
      <c r="D27" s="300"/>
      <c r="E27" s="300"/>
      <c r="F27" s="292"/>
      <c r="G27" s="77" t="str">
        <f>IF(A26="失業",G26*0.3,G26)</f>
        <v>0</v>
      </c>
      <c r="H27" s="294"/>
      <c r="I27" s="268"/>
      <c r="J27" s="272"/>
      <c r="K27" s="274"/>
      <c r="L27" s="272"/>
      <c r="M27" s="274"/>
      <c r="N27" s="290"/>
      <c r="O27" s="270"/>
      <c r="P27" s="270"/>
      <c r="Q27" s="268"/>
      <c r="R27" s="270"/>
    </row>
    <row r="28" spans="1:18" ht="21" customHeight="1" x14ac:dyDescent="0.2">
      <c r="B28" s="88">
        <f>IF(HP入力フォーム!B9="いいえ",COUNTA(HP入力フォーム!C14:'HP入力フォーム'!C21),COUNTA(HP入力フォーム!C13:'HP入力フォーム'!C21))</f>
        <v>0</v>
      </c>
      <c r="C28" s="41" t="s">
        <v>106</v>
      </c>
      <c r="D28" s="13">
        <f>COUNTA(HP入力フォーム!D13:D21)</f>
        <v>0</v>
      </c>
      <c r="E28" s="13">
        <f>COUNTIF(E10:E27,"該当")</f>
        <v>0</v>
      </c>
      <c r="F28" s="92">
        <f>SUM(F10:F27)</f>
        <v>0</v>
      </c>
      <c r="G28" s="92">
        <f>SUM(G10:G27)</f>
        <v>0</v>
      </c>
      <c r="H28" s="13">
        <f>SUM(H10:H27)</f>
        <v>0</v>
      </c>
      <c r="I28" s="13">
        <f>SUM(I10:I27)</f>
        <v>0</v>
      </c>
      <c r="J28" s="94" t="s">
        <v>101</v>
      </c>
      <c r="K28" s="13">
        <f>SUM(K10:K27)</f>
        <v>0</v>
      </c>
      <c r="L28" s="94" t="s">
        <v>101</v>
      </c>
      <c r="M28" s="13">
        <f t="shared" ref="M28:R28" si="8">SUM(M10:M27)</f>
        <v>0</v>
      </c>
      <c r="N28" s="92">
        <f t="shared" si="8"/>
        <v>0</v>
      </c>
      <c r="O28" s="13">
        <f t="shared" si="8"/>
        <v>0</v>
      </c>
      <c r="P28" s="13">
        <f t="shared" si="8"/>
        <v>0</v>
      </c>
      <c r="Q28" s="13">
        <f t="shared" si="8"/>
        <v>0</v>
      </c>
      <c r="R28" s="92">
        <f t="shared" si="8"/>
        <v>0</v>
      </c>
    </row>
    <row r="29" spans="1:18" ht="21" customHeight="1" x14ac:dyDescent="0.2">
      <c r="B29" s="114">
        <f>IF(HP入力フォーム!B9="いいえ",COUNTIF(HP入力フォーム!C14:C21,"0～39歳"),COUNTIF(HP入力フォーム!C13:C21,"0～39歳"))</f>
        <v>0</v>
      </c>
      <c r="C29" s="41" t="s">
        <v>105</v>
      </c>
      <c r="D29" s="90"/>
      <c r="E29" s="85" t="s">
        <v>142</v>
      </c>
      <c r="F29" t="s">
        <v>141</v>
      </c>
      <c r="Q29" s="90">
        <f>IF(B10="世帯主(擬)",SUMIF(C12:C27,"40～64歳",R12:R27),SUMIF(C10:C27,"40～64歳",R10:R27))</f>
        <v>0</v>
      </c>
    </row>
    <row r="30" spans="1:18" ht="21" customHeight="1" x14ac:dyDescent="0.2">
      <c r="B30" s="65">
        <f>IF(HP入力フォーム!B9="いいえ",COUNTIF(HP入力フォーム!C14:C21,"40～64歳"),COUNTIF(HP入力フォーム!C13:C21,"40～64歳"))</f>
        <v>0</v>
      </c>
      <c r="C30" s="91" t="s">
        <v>104</v>
      </c>
      <c r="D30" s="89" t="s">
        <v>69</v>
      </c>
      <c r="E30" s="108"/>
      <c r="F30" s="43"/>
      <c r="Q30" s="65" t="s">
        <v>69</v>
      </c>
    </row>
    <row r="31" spans="1:18" ht="21" customHeight="1" thickBot="1" x14ac:dyDescent="0.25">
      <c r="B31" s="40"/>
      <c r="C31" s="42"/>
      <c r="D31" s="24"/>
      <c r="Q31" s="125"/>
    </row>
    <row r="32" spans="1:18" ht="27.6" customHeight="1" thickBot="1" x14ac:dyDescent="0.25">
      <c r="C32" s="278"/>
      <c r="D32" s="279"/>
      <c r="E32" s="185" t="s">
        <v>65</v>
      </c>
      <c r="F32" s="186" t="s">
        <v>66</v>
      </c>
      <c r="G32" s="187"/>
      <c r="H32" s="188"/>
      <c r="I32" s="200" t="s">
        <v>72</v>
      </c>
      <c r="J32" s="200" t="s">
        <v>74</v>
      </c>
      <c r="K32" s="201" t="s">
        <v>137</v>
      </c>
      <c r="L32" s="202" t="s">
        <v>75</v>
      </c>
      <c r="M32" s="189"/>
      <c r="N32" s="190"/>
      <c r="O32" s="185" t="s">
        <v>78</v>
      </c>
      <c r="P32" s="186" t="s">
        <v>79</v>
      </c>
    </row>
    <row r="33" spans="3:16" ht="27.75" customHeight="1" thickBot="1" x14ac:dyDescent="0.25">
      <c r="C33" s="280" t="s">
        <v>67</v>
      </c>
      <c r="D33" s="131" t="s">
        <v>70</v>
      </c>
      <c r="E33" s="132">
        <v>28000</v>
      </c>
      <c r="F33" s="133">
        <v>5.7</v>
      </c>
      <c r="G33" s="130"/>
      <c r="H33" s="138" t="s">
        <v>71</v>
      </c>
      <c r="I33" s="139">
        <f>$E33*$B$28</f>
        <v>0</v>
      </c>
      <c r="J33" s="139">
        <f>IF(E30="該当",0,IF(基礎計算!$O$2="非該当",0,$B$28*VLOOKUP(基礎計算!$O$2,D34:E36,2,0)))</f>
        <v>0</v>
      </c>
      <c r="K33" s="140">
        <f>IF(D28=0,0,IF(J33=0,(ROUND((I33/B28)/2*D28,-2)),(ROUND(((I33-J33)/B28)/2*D28,-2))))</f>
        <v>0</v>
      </c>
      <c r="L33" s="141">
        <f>I33-J33-K33</f>
        <v>0</v>
      </c>
      <c r="M33" s="22"/>
      <c r="N33" s="142" t="s">
        <v>77</v>
      </c>
      <c r="O33" s="143">
        <f>$R$28</f>
        <v>0</v>
      </c>
      <c r="P33" s="144">
        <f>ROUNDDOWN($O33*$F33/100,0)</f>
        <v>0</v>
      </c>
    </row>
    <row r="34" spans="3:16" ht="27.75" customHeight="1" x14ac:dyDescent="0.2">
      <c r="C34" s="281"/>
      <c r="D34" s="20" t="s">
        <v>129</v>
      </c>
      <c r="E34" s="25">
        <f>E33*0.7</f>
        <v>19600</v>
      </c>
      <c r="F34" s="134" t="s">
        <v>101</v>
      </c>
      <c r="G34" s="40"/>
      <c r="H34" s="103"/>
      <c r="I34" s="104"/>
      <c r="J34" s="104"/>
      <c r="K34" s="104"/>
      <c r="L34" s="105"/>
      <c r="M34" s="22"/>
      <c r="N34" s="105"/>
      <c r="O34" s="105"/>
      <c r="P34" s="104"/>
    </row>
    <row r="35" spans="3:16" ht="27.75" customHeight="1" x14ac:dyDescent="0.2">
      <c r="C35" s="281"/>
      <c r="D35" s="20" t="s">
        <v>130</v>
      </c>
      <c r="E35" s="25">
        <f>E33*0.5</f>
        <v>14000</v>
      </c>
      <c r="F35" s="134" t="s">
        <v>101</v>
      </c>
      <c r="G35" s="40"/>
      <c r="H35" s="24"/>
      <c r="I35" s="102"/>
      <c r="J35" s="102"/>
      <c r="K35" s="102"/>
      <c r="L35" s="101"/>
      <c r="M35" s="22"/>
      <c r="N35" s="101"/>
      <c r="O35" s="101"/>
      <c r="P35" s="102"/>
    </row>
    <row r="36" spans="3:16" ht="27.75" customHeight="1" thickBot="1" x14ac:dyDescent="0.25">
      <c r="C36" s="282"/>
      <c r="D36" s="135" t="s">
        <v>115</v>
      </c>
      <c r="E36" s="136">
        <f>E33*0.2</f>
        <v>5600</v>
      </c>
      <c r="F36" s="137" t="s">
        <v>101</v>
      </c>
      <c r="G36" s="40"/>
      <c r="H36" s="106"/>
      <c r="I36" s="107"/>
      <c r="J36" s="107"/>
      <c r="K36" s="107"/>
      <c r="L36" s="107"/>
      <c r="M36" s="23"/>
      <c r="N36" s="23"/>
      <c r="P36" s="50"/>
    </row>
    <row r="37" spans="3:16" ht="27" customHeight="1" thickBot="1" x14ac:dyDescent="0.25">
      <c r="C37" s="283" t="s">
        <v>68</v>
      </c>
      <c r="D37" s="146" t="s">
        <v>70</v>
      </c>
      <c r="E37" s="147">
        <v>16000</v>
      </c>
      <c r="F37" s="148">
        <v>2.7</v>
      </c>
      <c r="G37" s="130"/>
      <c r="H37" s="153" t="s">
        <v>71</v>
      </c>
      <c r="I37" s="154">
        <f>$E37*$B$28</f>
        <v>0</v>
      </c>
      <c r="J37" s="154">
        <f>IF(E30="該当",0,IF(基礎計算!$O$2="非該当",0,$B$28*VLOOKUP(基礎計算!$O$2,D38:E40,2,0)))</f>
        <v>0</v>
      </c>
      <c r="K37" s="155">
        <f>IF(D28=0,0,IF(J37=0,(ROUND((I37/B28)/2*D28,-2)),(ROUND(((I37-J37)/B28)/2*D28,-2))))</f>
        <v>0</v>
      </c>
      <c r="L37" s="156">
        <f>I37-J37-K37</f>
        <v>0</v>
      </c>
      <c r="M37" s="22"/>
      <c r="N37" s="157" t="s">
        <v>77</v>
      </c>
      <c r="O37" s="158">
        <f>$R$28</f>
        <v>0</v>
      </c>
      <c r="P37" s="159">
        <f>ROUNDDOWN($O37*$F37/100,0)</f>
        <v>0</v>
      </c>
    </row>
    <row r="38" spans="3:16" ht="27" customHeight="1" x14ac:dyDescent="0.2">
      <c r="C38" s="284"/>
      <c r="D38" s="14" t="s">
        <v>129</v>
      </c>
      <c r="E38" s="13">
        <f>E37*0.7</f>
        <v>11200</v>
      </c>
      <c r="F38" s="149" t="s">
        <v>101</v>
      </c>
      <c r="G38" s="145"/>
      <c r="H38" s="103"/>
      <c r="I38" s="104"/>
      <c r="J38" s="104"/>
      <c r="K38" s="104"/>
      <c r="L38" s="105"/>
      <c r="M38" s="22"/>
      <c r="N38" s="105"/>
      <c r="O38" s="105"/>
      <c r="P38" s="104"/>
    </row>
    <row r="39" spans="3:16" ht="27" customHeight="1" x14ac:dyDescent="0.2">
      <c r="C39" s="284"/>
      <c r="D39" s="14" t="s">
        <v>130</v>
      </c>
      <c r="E39" s="13">
        <f>E37*0.5</f>
        <v>8000</v>
      </c>
      <c r="F39" s="149" t="s">
        <v>101</v>
      </c>
      <c r="G39" s="145"/>
      <c r="H39" s="24"/>
      <c r="I39" s="102"/>
      <c r="J39" s="102"/>
      <c r="K39" s="102"/>
      <c r="L39" s="101"/>
      <c r="M39" s="22"/>
      <c r="N39" s="101"/>
      <c r="O39" s="101"/>
      <c r="P39" s="102"/>
    </row>
    <row r="40" spans="3:16" ht="27" customHeight="1" thickBot="1" x14ac:dyDescent="0.25">
      <c r="C40" s="285"/>
      <c r="D40" s="150" t="s">
        <v>115</v>
      </c>
      <c r="E40" s="151">
        <f>E37*0.2</f>
        <v>3200</v>
      </c>
      <c r="F40" s="152" t="s">
        <v>101</v>
      </c>
      <c r="G40" s="145"/>
      <c r="H40" s="106"/>
      <c r="I40" s="107"/>
      <c r="J40" s="107"/>
      <c r="K40" s="107"/>
      <c r="L40" s="107"/>
      <c r="M40" s="23"/>
      <c r="N40" s="23"/>
      <c r="P40" s="50"/>
    </row>
    <row r="41" spans="3:16" ht="27.75" customHeight="1" thickBot="1" x14ac:dyDescent="0.25">
      <c r="C41" s="286" t="s">
        <v>69</v>
      </c>
      <c r="D41" s="160" t="s">
        <v>70</v>
      </c>
      <c r="E41" s="161">
        <v>17000</v>
      </c>
      <c r="F41" s="162">
        <v>2.2000000000000002</v>
      </c>
      <c r="G41" s="130"/>
      <c r="H41" s="165" t="s">
        <v>71</v>
      </c>
      <c r="I41" s="166">
        <f>$E41*$B$30</f>
        <v>0</v>
      </c>
      <c r="J41" s="167">
        <f>IF(E30="該当",0,IF(B30=0,0,IF(基礎計算!$O$2="非該当",0,$B$30*VLOOKUP(基礎計算!$O$2,D42:E44,2,0))))</f>
        <v>0</v>
      </c>
      <c r="K41" s="168" t="s">
        <v>140</v>
      </c>
      <c r="L41" s="169">
        <f>I41-J41</f>
        <v>0</v>
      </c>
      <c r="M41" s="22"/>
      <c r="N41" s="170" t="s">
        <v>77</v>
      </c>
      <c r="O41" s="171">
        <f>$Q$29</f>
        <v>0</v>
      </c>
      <c r="P41" s="172">
        <f>ROUNDDOWN($O41*$F41/100,0)</f>
        <v>0</v>
      </c>
    </row>
    <row r="42" spans="3:16" ht="28.5" customHeight="1" x14ac:dyDescent="0.2">
      <c r="C42" s="287"/>
      <c r="D42" s="61" t="s">
        <v>129</v>
      </c>
      <c r="E42" s="62">
        <f>E41*0.7</f>
        <v>11900</v>
      </c>
      <c r="F42" s="163" t="s">
        <v>101</v>
      </c>
      <c r="G42" s="40"/>
      <c r="H42" s="103"/>
      <c r="I42" s="104"/>
      <c r="J42" s="104"/>
      <c r="K42" s="104"/>
      <c r="L42" s="105"/>
      <c r="M42" s="22"/>
      <c r="N42" s="105"/>
      <c r="O42" s="105"/>
      <c r="P42" s="104"/>
    </row>
    <row r="43" spans="3:16" ht="28.5" customHeight="1" x14ac:dyDescent="0.2">
      <c r="C43" s="287"/>
      <c r="D43" s="80" t="s">
        <v>130</v>
      </c>
      <c r="E43" s="81">
        <f>E41*0.5</f>
        <v>8500</v>
      </c>
      <c r="F43" s="163" t="s">
        <v>101</v>
      </c>
      <c r="G43" s="40"/>
      <c r="H43" s="24"/>
      <c r="I43" s="102"/>
      <c r="J43" s="102"/>
      <c r="K43" s="102"/>
      <c r="L43" s="101"/>
      <c r="M43" s="22"/>
      <c r="N43" s="101"/>
      <c r="O43" s="101"/>
      <c r="P43" s="102"/>
    </row>
    <row r="44" spans="3:16" ht="27" customHeight="1" thickBot="1" x14ac:dyDescent="0.25">
      <c r="C44" s="288"/>
      <c r="D44" s="63" t="s">
        <v>115</v>
      </c>
      <c r="E44" s="64">
        <f>E41*0.2</f>
        <v>3400</v>
      </c>
      <c r="F44" s="164" t="s">
        <v>101</v>
      </c>
      <c r="G44" s="40"/>
      <c r="H44" s="40"/>
      <c r="I44" s="102"/>
      <c r="J44" s="102"/>
      <c r="K44" s="102"/>
      <c r="L44" s="102"/>
      <c r="M44" s="23"/>
      <c r="N44" s="23"/>
    </row>
    <row r="45" spans="3:16" ht="27" customHeight="1" thickBot="1" x14ac:dyDescent="0.25">
      <c r="C45" s="275" t="s">
        <v>173</v>
      </c>
      <c r="D45" s="183" t="s">
        <v>70</v>
      </c>
      <c r="E45" s="173">
        <v>1600</v>
      </c>
      <c r="F45" s="174">
        <v>0.2</v>
      </c>
      <c r="G45" s="130"/>
      <c r="H45" s="177" t="s">
        <v>71</v>
      </c>
      <c r="I45" s="178">
        <f>$E45*$B$28</f>
        <v>0</v>
      </c>
      <c r="J45" s="178">
        <f>IF(E30="該当",0,IF(基礎計算!$O$2="非該当",0,$B$28*VLOOKUP(基礎計算!$O$2,D46:E48,2,0)))</f>
        <v>0</v>
      </c>
      <c r="K45" s="184">
        <f>IF(D28=0,0,IF(J45=0,(ROUND((I45/B28)*D28,-2)),(ROUND(((I45-J45)/B28)*D28,-2))))</f>
        <v>0</v>
      </c>
      <c r="L45" s="179">
        <f>I45-J45-K45</f>
        <v>0</v>
      </c>
      <c r="M45" s="22"/>
      <c r="N45" s="180" t="s">
        <v>77</v>
      </c>
      <c r="O45" s="181">
        <f>$R$28</f>
        <v>0</v>
      </c>
      <c r="P45" s="182">
        <f>ROUNDDOWN($O45*$F45/100,0)</f>
        <v>0</v>
      </c>
    </row>
    <row r="46" spans="3:16" ht="27" customHeight="1" x14ac:dyDescent="0.2">
      <c r="C46" s="276"/>
      <c r="D46" s="126" t="s">
        <v>129</v>
      </c>
      <c r="E46" s="127">
        <f>E45*0.7</f>
        <v>1120</v>
      </c>
      <c r="F46" s="175" t="s">
        <v>101</v>
      </c>
      <c r="G46" s="145"/>
      <c r="H46" s="103"/>
      <c r="I46" s="104"/>
      <c r="J46" s="104"/>
      <c r="K46" s="104"/>
      <c r="L46" s="105"/>
      <c r="M46" s="22"/>
      <c r="N46" s="105"/>
      <c r="O46" s="105"/>
      <c r="P46" s="104"/>
    </row>
    <row r="47" spans="3:16" ht="27" customHeight="1" x14ac:dyDescent="0.2">
      <c r="C47" s="276"/>
      <c r="D47" s="126" t="s">
        <v>130</v>
      </c>
      <c r="E47" s="127">
        <f>E45*0.5</f>
        <v>800</v>
      </c>
      <c r="F47" s="175" t="s">
        <v>101</v>
      </c>
      <c r="G47" s="145"/>
      <c r="H47" s="24"/>
      <c r="I47" s="102"/>
      <c r="J47" s="102"/>
      <c r="K47" s="102"/>
      <c r="L47" s="101"/>
      <c r="M47" s="22"/>
      <c r="N47" s="101"/>
      <c r="O47" s="101"/>
      <c r="P47" s="102"/>
    </row>
    <row r="48" spans="3:16" ht="27" customHeight="1" thickBot="1" x14ac:dyDescent="0.25">
      <c r="C48" s="277"/>
      <c r="D48" s="128" t="s">
        <v>115</v>
      </c>
      <c r="E48" s="129">
        <f>E45*0.2</f>
        <v>320</v>
      </c>
      <c r="F48" s="176" t="s">
        <v>101</v>
      </c>
      <c r="G48" s="145"/>
      <c r="H48" s="23"/>
      <c r="I48" s="23"/>
      <c r="K48" s="50"/>
    </row>
    <row r="49" spans="3:16" ht="27" customHeight="1" thickBot="1" x14ac:dyDescent="0.25">
      <c r="C49" s="275" t="s">
        <v>179</v>
      </c>
      <c r="D49" s="183" t="s">
        <v>70</v>
      </c>
      <c r="E49" s="173">
        <v>160</v>
      </c>
      <c r="F49" s="174">
        <v>0</v>
      </c>
      <c r="G49" s="130"/>
      <c r="H49" s="177" t="s">
        <v>71</v>
      </c>
      <c r="I49" s="178">
        <f>$E49*($B$28-D28)</f>
        <v>0</v>
      </c>
      <c r="J49" s="178">
        <f>IF(E30="該当",0,IF(基礎計算!$O$2="非該当",0,($B$28-$D$28)*VLOOKUP(基礎計算!$O$2,D50:E52,2,0)))</f>
        <v>0</v>
      </c>
      <c r="K49" s="184">
        <f>IF(D32=0,0,IF(J49=0,(ROUND((I49/B32)*D32,-2)),(ROUND(((I49-J49)/D32)*D32,-2))))</f>
        <v>0</v>
      </c>
      <c r="L49" s="179">
        <f>I49-J49-K49</f>
        <v>0</v>
      </c>
      <c r="M49" s="22"/>
      <c r="N49" s="180" t="s">
        <v>77</v>
      </c>
      <c r="O49" s="181">
        <f>$R$28</f>
        <v>0</v>
      </c>
      <c r="P49" s="182">
        <f>ROUNDDOWN($O49*$F49/100,0)</f>
        <v>0</v>
      </c>
    </row>
    <row r="50" spans="3:16" ht="27" customHeight="1" x14ac:dyDescent="0.2">
      <c r="C50" s="276"/>
      <c r="D50" s="126" t="s">
        <v>129</v>
      </c>
      <c r="E50" s="127">
        <f>E49*0.7</f>
        <v>112</v>
      </c>
      <c r="F50" s="175" t="s">
        <v>101</v>
      </c>
      <c r="G50" s="145"/>
      <c r="H50" s="103"/>
      <c r="I50" s="104"/>
      <c r="J50" s="104"/>
      <c r="K50" s="104"/>
      <c r="L50" s="105"/>
      <c r="M50" s="22"/>
      <c r="N50" s="105"/>
      <c r="O50" s="105"/>
      <c r="P50" s="104"/>
    </row>
    <row r="51" spans="3:16" ht="27" customHeight="1" x14ac:dyDescent="0.2">
      <c r="C51" s="276"/>
      <c r="D51" s="126" t="s">
        <v>130</v>
      </c>
      <c r="E51" s="127">
        <f>E49*0.5</f>
        <v>80</v>
      </c>
      <c r="F51" s="175" t="s">
        <v>101</v>
      </c>
      <c r="G51" s="145"/>
      <c r="H51" s="24"/>
      <c r="I51" s="102"/>
      <c r="J51" s="102"/>
      <c r="K51" s="102"/>
      <c r="L51" s="101"/>
      <c r="M51" s="22"/>
      <c r="N51" s="101"/>
      <c r="O51" s="101"/>
      <c r="P51" s="102"/>
    </row>
    <row r="52" spans="3:16" ht="27" customHeight="1" thickBot="1" x14ac:dyDescent="0.25">
      <c r="C52" s="277"/>
      <c r="D52" s="128" t="s">
        <v>115</v>
      </c>
      <c r="E52" s="129">
        <f>E49*0.2</f>
        <v>32</v>
      </c>
      <c r="F52" s="176" t="s">
        <v>101</v>
      </c>
      <c r="G52" s="145"/>
      <c r="H52" s="23"/>
      <c r="I52" s="23"/>
      <c r="K52" s="50"/>
    </row>
  </sheetData>
  <mergeCells count="175">
    <mergeCell ref="C49:C52"/>
    <mergeCell ref="R18:R19"/>
    <mergeCell ref="A20:A21"/>
    <mergeCell ref="B20:B21"/>
    <mergeCell ref="C20:C21"/>
    <mergeCell ref="D20:D21"/>
    <mergeCell ref="E20:E21"/>
    <mergeCell ref="F20:F21"/>
    <mergeCell ref="H20:H21"/>
    <mergeCell ref="I20:I21"/>
    <mergeCell ref="J20:J21"/>
    <mergeCell ref="K20:K21"/>
    <mergeCell ref="L20:L21"/>
    <mergeCell ref="M20:M21"/>
    <mergeCell ref="N20:N21"/>
    <mergeCell ref="O20:O21"/>
    <mergeCell ref="P20:P21"/>
    <mergeCell ref="Q20:Q21"/>
    <mergeCell ref="R20:R21"/>
    <mergeCell ref="K22:K23"/>
    <mergeCell ref="L22:L23"/>
    <mergeCell ref="M22:M23"/>
    <mergeCell ref="N22:N23"/>
    <mergeCell ref="O22:O23"/>
    <mergeCell ref="R22:R23"/>
    <mergeCell ref="A18:A19"/>
    <mergeCell ref="B18:B19"/>
    <mergeCell ref="C18:C19"/>
    <mergeCell ref="D18:D19"/>
    <mergeCell ref="E18:E19"/>
    <mergeCell ref="F18:F19"/>
    <mergeCell ref="H18:H19"/>
    <mergeCell ref="I18:I19"/>
    <mergeCell ref="J18:J19"/>
    <mergeCell ref="K18:K19"/>
    <mergeCell ref="L18:L19"/>
    <mergeCell ref="M18:M19"/>
    <mergeCell ref="N18:N19"/>
    <mergeCell ref="O18:O19"/>
    <mergeCell ref="P18:P19"/>
    <mergeCell ref="Q18:Q19"/>
    <mergeCell ref="A22:A23"/>
    <mergeCell ref="B22:B23"/>
    <mergeCell ref="C22:C23"/>
    <mergeCell ref="D22:D23"/>
    <mergeCell ref="E22:E23"/>
    <mergeCell ref="F22:F23"/>
    <mergeCell ref="H22:H23"/>
    <mergeCell ref="I22:I23"/>
    <mergeCell ref="J22:J23"/>
    <mergeCell ref="J2:K2"/>
    <mergeCell ref="L2:M2"/>
    <mergeCell ref="N8:N9"/>
    <mergeCell ref="O8:O9"/>
    <mergeCell ref="Q8:Q9"/>
    <mergeCell ref="M12:M13"/>
    <mergeCell ref="N12:N13"/>
    <mergeCell ref="O12:O13"/>
    <mergeCell ref="P12:P13"/>
    <mergeCell ref="Q12:Q13"/>
    <mergeCell ref="M16:M17"/>
    <mergeCell ref="N16:N17"/>
    <mergeCell ref="O16:O17"/>
    <mergeCell ref="P16:P17"/>
    <mergeCell ref="Q16:Q17"/>
    <mergeCell ref="P22:P23"/>
    <mergeCell ref="Q22:Q23"/>
    <mergeCell ref="R8:R9"/>
    <mergeCell ref="A10:A11"/>
    <mergeCell ref="B10:B11"/>
    <mergeCell ref="C10:C11"/>
    <mergeCell ref="D10:D11"/>
    <mergeCell ref="E10:E11"/>
    <mergeCell ref="F10:F11"/>
    <mergeCell ref="A8:A9"/>
    <mergeCell ref="B8:B9"/>
    <mergeCell ref="C8:C9"/>
    <mergeCell ref="D8:D9"/>
    <mergeCell ref="F8:G8"/>
    <mergeCell ref="H8:I8"/>
    <mergeCell ref="J8:K8"/>
    <mergeCell ref="L8:M8"/>
    <mergeCell ref="N10:N11"/>
    <mergeCell ref="O10:O11"/>
    <mergeCell ref="P10:P11"/>
    <mergeCell ref="Q10:Q11"/>
    <mergeCell ref="R10:R11"/>
    <mergeCell ref="L10:L11"/>
    <mergeCell ref="M10:M11"/>
    <mergeCell ref="P8:P9"/>
    <mergeCell ref="E8:E9"/>
    <mergeCell ref="A12:A13"/>
    <mergeCell ref="B12:B13"/>
    <mergeCell ref="C12:C13"/>
    <mergeCell ref="D12:D13"/>
    <mergeCell ref="E12:E13"/>
    <mergeCell ref="H10:H11"/>
    <mergeCell ref="I10:I11"/>
    <mergeCell ref="J10:J11"/>
    <mergeCell ref="K10:K11"/>
    <mergeCell ref="R12:R13"/>
    <mergeCell ref="F12:F13"/>
    <mergeCell ref="H12:H13"/>
    <mergeCell ref="I12:I13"/>
    <mergeCell ref="J12:J13"/>
    <mergeCell ref="K12:K13"/>
    <mergeCell ref="L12:L13"/>
    <mergeCell ref="N14:N15"/>
    <mergeCell ref="O14:O15"/>
    <mergeCell ref="P14:P15"/>
    <mergeCell ref="Q14:Q15"/>
    <mergeCell ref="R14:R15"/>
    <mergeCell ref="L14:L15"/>
    <mergeCell ref="M14:M15"/>
    <mergeCell ref="A16:A17"/>
    <mergeCell ref="B16:B17"/>
    <mergeCell ref="C16:C17"/>
    <mergeCell ref="D16:D17"/>
    <mergeCell ref="E16:E17"/>
    <mergeCell ref="H14:H15"/>
    <mergeCell ref="I14:I15"/>
    <mergeCell ref="J14:J15"/>
    <mergeCell ref="K14:K15"/>
    <mergeCell ref="A14:A15"/>
    <mergeCell ref="B14:B15"/>
    <mergeCell ref="C14:C15"/>
    <mergeCell ref="D14:D15"/>
    <mergeCell ref="E14:E15"/>
    <mergeCell ref="F14:F15"/>
    <mergeCell ref="R16:R17"/>
    <mergeCell ref="F16:F17"/>
    <mergeCell ref="H16:H17"/>
    <mergeCell ref="I16:I17"/>
    <mergeCell ref="J16:J17"/>
    <mergeCell ref="K16:K17"/>
    <mergeCell ref="L16:L17"/>
    <mergeCell ref="A26:A27"/>
    <mergeCell ref="B26:B27"/>
    <mergeCell ref="C26:C27"/>
    <mergeCell ref="D26:D27"/>
    <mergeCell ref="E26:E27"/>
    <mergeCell ref="H24:H25"/>
    <mergeCell ref="I24:I25"/>
    <mergeCell ref="J24:J25"/>
    <mergeCell ref="K24:K25"/>
    <mergeCell ref="A24:A25"/>
    <mergeCell ref="B24:B25"/>
    <mergeCell ref="C24:C25"/>
    <mergeCell ref="D24:D25"/>
    <mergeCell ref="E24:E25"/>
    <mergeCell ref="F24:F25"/>
    <mergeCell ref="Q26:Q27"/>
    <mergeCell ref="R26:R27"/>
    <mergeCell ref="Q24:Q25"/>
    <mergeCell ref="R24:R25"/>
    <mergeCell ref="L24:L25"/>
    <mergeCell ref="M24:M25"/>
    <mergeCell ref="C45:C48"/>
    <mergeCell ref="C32:D32"/>
    <mergeCell ref="C33:C36"/>
    <mergeCell ref="C37:C40"/>
    <mergeCell ref="C41:C44"/>
    <mergeCell ref="M26:M27"/>
    <mergeCell ref="N26:N27"/>
    <mergeCell ref="O26:O27"/>
    <mergeCell ref="P26:P27"/>
    <mergeCell ref="F26:F27"/>
    <mergeCell ref="H26:H27"/>
    <mergeCell ref="I26:I27"/>
    <mergeCell ref="J26:J27"/>
    <mergeCell ref="K26:K27"/>
    <mergeCell ref="L26:L27"/>
    <mergeCell ref="N24:N25"/>
    <mergeCell ref="O24:O25"/>
    <mergeCell ref="P24:P25"/>
  </mergeCells>
  <phoneticPr fontId="2"/>
  <conditionalFormatting sqref="C4">
    <cfRule type="expression" dxfId="3" priority="3" stopIfTrue="1">
      <formula>$B$4="該当"</formula>
    </cfRule>
  </conditionalFormatting>
  <conditionalFormatting sqref="C5:C7">
    <cfRule type="expression" dxfId="2" priority="5" stopIfTrue="1">
      <formula>$B$5="該当"</formula>
    </cfRule>
  </conditionalFormatting>
  <dataValidations count="8">
    <dataValidation type="list" allowBlank="1" showInputMessage="1" showErrorMessage="1" sqref="A10:A27" xr:uid="{00000000-0002-0000-0100-000000000000}">
      <formula1>失業区分</formula1>
    </dataValidation>
    <dataValidation allowBlank="1" showInputMessage="1" showErrorMessage="1" promptTitle="年金特別控除は" prompt="軽減の判定の際控除されます!" sqref="P10:P14 P16 P24 P26 P22 P18 P20" xr:uid="{00000000-0002-0000-0100-000001000000}"/>
    <dataValidation allowBlank="1" showInputMessage="1" showErrorMessage="1" promptTitle="所得から入力したい場合" prompt="その他収入に所得を入力してください!" sqref="F22 F24 F12 F16 F20 F10 F18 F14 F26" xr:uid="{00000000-0002-0000-0100-000002000000}"/>
    <dataValidation type="list" allowBlank="1" showInputMessage="1" showErrorMessage="1" promptTitle="年金控除、介護分の区分" prompt="必ず選択すること!" sqref="C26 C24 C22 C18 C20 C12 C14 C10 C16" xr:uid="{00000000-0002-0000-0100-000003000000}">
      <formula1>年齢区分</formula1>
    </dataValidation>
    <dataValidation type="list" allowBlank="1" showInputMessage="1" showErrorMessage="1" promptTitle="必ず入力" prompt="擬制世帯は必ず、世帯主(擬)を選択すること!" sqref="B22 B20 B16 B18 B14 B10 B12 B24 B26" xr:uid="{00000000-0002-0000-0100-000004000000}">
      <formula1>主・員区分</formula1>
    </dataValidation>
    <dataValidation allowBlank="1" showInputMessage="1" showErrorMessage="1" promptTitle="年金入力" prompt="年金は必ずここで入力してね!" sqref="H10:H27" xr:uid="{00000000-0002-0000-0100-000005000000}"/>
    <dataValidation type="list" allowBlank="1" showInputMessage="1" showErrorMessage="1" sqref="L24 J22 J24 J10:J18 L10:L18 L22 J20 L20" xr:uid="{00000000-0002-0000-0100-000006000000}">
      <formula1>所得区分</formula1>
    </dataValidation>
    <dataValidation type="list" allowBlank="1" showInputMessage="1" showErrorMessage="1" promptTitle="選択してね" prompt="「該当」にすると右が赤になります" sqref="B4:B5" xr:uid="{00000000-0002-0000-0100-000007000000}">
      <formula1>該当区分</formula1>
    </dataValidation>
  </dataValidations>
  <printOptions headings="1"/>
  <pageMargins left="0.75" right="0.75" top="1" bottom="1" header="0.51200000000000001" footer="0.51200000000000001"/>
  <pageSetup paperSize="9" scale="49"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区分リスト!$H$2:$H$13</xm:f>
          </x14:formula1>
          <xm:sqref>O6:O7</xm:sqref>
        </x14:dataValidation>
        <x14:dataValidation type="list" allowBlank="1" showInputMessage="1" showErrorMessage="1" xr:uid="{00000000-0002-0000-0100-000009000000}">
          <x14:formula1>
            <xm:f>区分リスト!$I$2:$I$3</xm:f>
          </x14:formula1>
          <xm:sqref>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W89"/>
  <sheetViews>
    <sheetView topLeftCell="F1" workbookViewId="0">
      <selection activeCell="F1" sqref="F1"/>
    </sheetView>
  </sheetViews>
  <sheetFormatPr defaultRowHeight="13.2" x14ac:dyDescent="0.2"/>
  <cols>
    <col min="1" max="1" width="12.77734375" hidden="1" customWidth="1"/>
    <col min="2" max="2" width="10.33203125" hidden="1" customWidth="1"/>
    <col min="3" max="3" width="9" hidden="1" customWidth="1"/>
    <col min="4" max="4" width="18.33203125" hidden="1" customWidth="1"/>
    <col min="5" max="5" width="18.109375" hidden="1" customWidth="1"/>
    <col min="6" max="6" width="3.33203125" customWidth="1"/>
    <col min="7" max="7" width="13.88671875" bestFit="1" customWidth="1"/>
    <col min="8" max="8" width="10.21875" style="50" bestFit="1" customWidth="1"/>
    <col min="9" max="9" width="3.109375" customWidth="1"/>
    <col min="11" max="11" width="10.21875" bestFit="1" customWidth="1"/>
    <col min="12" max="13" width="3.77734375" customWidth="1"/>
    <col min="16" max="16" width="12.6640625" customWidth="1"/>
    <col min="17" max="17" width="4.21875" customWidth="1"/>
    <col min="18" max="18" width="11.6640625" bestFit="1" customWidth="1"/>
    <col min="19" max="19" width="7.5546875" bestFit="1" customWidth="1"/>
    <col min="20" max="22" width="10" bestFit="1" customWidth="1"/>
  </cols>
  <sheetData>
    <row r="1" spans="1:23" ht="13.8" thickBot="1" x14ac:dyDescent="0.25">
      <c r="G1" t="s">
        <v>57</v>
      </c>
      <c r="J1" t="s">
        <v>56</v>
      </c>
      <c r="N1" t="s">
        <v>58</v>
      </c>
      <c r="R1" s="82" t="s">
        <v>74</v>
      </c>
      <c r="S1" s="82"/>
      <c r="T1" s="82">
        <v>7</v>
      </c>
      <c r="U1" s="82">
        <v>5</v>
      </c>
      <c r="V1" s="82">
        <v>2</v>
      </c>
    </row>
    <row r="2" spans="1:23" x14ac:dyDescent="0.2">
      <c r="D2" t="s">
        <v>20</v>
      </c>
      <c r="E2" s="10" t="e">
        <f>ROUNDDOWN((#REF!-#REF!)/1000,0)*1000</f>
        <v>#REF!</v>
      </c>
      <c r="F2">
        <v>1</v>
      </c>
      <c r="G2" s="33" t="s">
        <v>184</v>
      </c>
      <c r="H2" s="87" t="str">
        <f>IF(入力画面!$F$10&lt;651000,"0",IF(入力画面!$F$10&lt;1900000,入力画面!$F$10-650000,))</f>
        <v>0</v>
      </c>
      <c r="I2" s="19"/>
      <c r="J2" s="26" t="s">
        <v>35</v>
      </c>
      <c r="K2" s="27">
        <f>IF(入力画面!$H$10&lt;1300000,600000,IF(入力画面!$H$10&lt;4100000,入力画面!$H$10*0.25+275000,IF(入力画面!$H$10&lt;7700000,入力画面!$H$10*0.15+685000,入力画面!$H$10*0.05+1455000)))</f>
        <v>600000</v>
      </c>
      <c r="N2" s="12" t="s">
        <v>58</v>
      </c>
      <c r="O2" s="12" t="str">
        <f>IF(入力画面!P28&lt;430000,"7割",IF(O13="","",O13))</f>
        <v>7割</v>
      </c>
      <c r="R2" s="82"/>
      <c r="S2" s="82" t="s">
        <v>126</v>
      </c>
      <c r="T2" s="50">
        <v>430000</v>
      </c>
      <c r="U2" s="50">
        <v>310000</v>
      </c>
      <c r="V2" s="50">
        <v>570000</v>
      </c>
    </row>
    <row r="3" spans="1:23" ht="13.8" thickBot="1" x14ac:dyDescent="0.25">
      <c r="G3" s="34" t="s">
        <v>201</v>
      </c>
      <c r="H3" s="37">
        <f>IF(入力画面!$F$10&lt;1900000,0,IF(入力画面!$F$10&lt;3600000,$H$6,IF(入力画面!$F$10&lt;6600000,$H$7,IF(入力画面!$F$10&lt;8500000,$H$8,IF(入力画面!$F$10&gt;8500000,$H$9)))))</f>
        <v>0</v>
      </c>
      <c r="I3" s="19"/>
      <c r="J3" s="28" t="s">
        <v>53</v>
      </c>
      <c r="K3" s="29">
        <f>IF(入力画面!$H$10&lt;3300000,1100000,IF(入力画面!$H$10&lt;4100000,入力画面!$H$10*0.25+275000,IF(入力画面!$H$10&lt;7700000,入力画面!$H$10*0.15+685000,入力画面!$H$10*0.05+1455000)))</f>
        <v>1100000</v>
      </c>
      <c r="M3" t="str">
        <f>IF(O3="","",1)</f>
        <v/>
      </c>
      <c r="N3" s="21" t="s">
        <v>116</v>
      </c>
      <c r="O3" s="21" t="str">
        <f>IF(入力画面!P$28&lt;430000,"",IF(OR(P3="",P3&gt;V3),"",IF(AND(P3&lt;V3,P3&gt;U3),"2割","5割")))</f>
        <v/>
      </c>
      <c r="P3" s="25" t="str">
        <f>IF((入力画面!B$28+入力画面!F30)=1,入力画面!P$28,"")</f>
        <v/>
      </c>
      <c r="R3" s="83" t="s">
        <v>116</v>
      </c>
      <c r="S3" s="83">
        <v>1</v>
      </c>
      <c r="T3" s="206">
        <f>$T$2+IF(入力画面!$E$28=0,0,(入力画面!$E$28-1)*100000)</f>
        <v>430000</v>
      </c>
      <c r="U3" s="206">
        <f>$U$2*S3+$T$2+IF(入力画面!$E$28=0,0,(入力画面!$E$28-1)*100000)</f>
        <v>740000</v>
      </c>
      <c r="V3" s="206">
        <f>$V$2*S3+$T$2+IF(入力画面!$E$28=0,0,(入力画面!$E$28-1)*100000)</f>
        <v>1000000</v>
      </c>
    </row>
    <row r="4" spans="1:23" ht="13.8" thickBot="1" x14ac:dyDescent="0.25">
      <c r="D4" s="1" t="s">
        <v>22</v>
      </c>
      <c r="E4" s="11" t="e">
        <f>IF(E2&lt;1000,0,IF(E2&lt;3300000,E2*0.1,IF(E2&lt;9000000,E2*0.2-330000,IF(E2&lt;18000000,E2*0.3-1230000,))))</f>
        <v>#REF!</v>
      </c>
      <c r="J4" s="28" t="s">
        <v>54</v>
      </c>
      <c r="K4" s="29">
        <f>IF(入力画面!$C$10="40～64歳",$K2,$K3)</f>
        <v>1100000</v>
      </c>
      <c r="M4" t="str">
        <f t="shared" ref="M4:M9" si="0">IF(O4="","",1)</f>
        <v/>
      </c>
      <c r="N4" s="21" t="s">
        <v>59</v>
      </c>
      <c r="O4" s="21" t="str">
        <f>IF(入力画面!P$28&lt;430000,"",IF(OR(P4="",P4&gt;V4),"",IF(AND(P4&lt;V4,P4&gt;U4),"2割","5割")))</f>
        <v/>
      </c>
      <c r="P4" s="25" t="str">
        <f>IF(入力画面!B$28+入力画面!F30=2,入力画面!P$28,"")</f>
        <v/>
      </c>
      <c r="R4" s="83" t="s">
        <v>59</v>
      </c>
      <c r="S4" s="83">
        <v>2</v>
      </c>
      <c r="T4" s="206">
        <f>$T$2+IF(入力画面!$E$28=0,0,(入力画面!$E$28-1)*100000)</f>
        <v>430000</v>
      </c>
      <c r="U4" s="206">
        <f>$U$2*S4+$T$2+IF(入力画面!$E$28=0,0,(入力画面!$E$28-1)*100000)</f>
        <v>1050000</v>
      </c>
      <c r="V4" s="206">
        <f>$V$2*S4+$T$2+IF(入力画面!$E$28=0,0,(入力画面!$E$28-1)*100000)</f>
        <v>1570000</v>
      </c>
    </row>
    <row r="5" spans="1:23" ht="13.8" thickBot="1" x14ac:dyDescent="0.25">
      <c r="D5" s="3"/>
      <c r="E5" s="4" t="e">
        <f>IF(E2&gt;17999999,E2*0.37-2490000)</f>
        <v>#REF!</v>
      </c>
      <c r="G5" s="33" t="s">
        <v>1</v>
      </c>
      <c r="H5" s="38">
        <f>IF(入力画面!$F$10&lt;1628000,0,IF(入力画面!$F$10&lt;1800000,ROUNDDOWN(入力画面!$F$10/4000,0)*1000*4*0.6+100000))</f>
        <v>0</v>
      </c>
      <c r="I5" s="19"/>
      <c r="J5" s="31" t="s">
        <v>55</v>
      </c>
      <c r="K5" s="205">
        <f>入力画面!H10-K4</f>
        <v>-1100000</v>
      </c>
      <c r="M5" t="str">
        <f t="shared" si="0"/>
        <v/>
      </c>
      <c r="N5" s="21" t="s">
        <v>60</v>
      </c>
      <c r="O5" s="21" t="str">
        <f>IF(入力画面!P$28&lt;430000,"",IF(OR(P5="",P5&gt;V5),"",IF(AND(P5&lt;V5,P5&gt;U5),"2割","5割")))</f>
        <v/>
      </c>
      <c r="P5" s="25" t="str">
        <f>IF(入力画面!B$28+入力画面!F30=3,入力画面!P$28,"")</f>
        <v/>
      </c>
      <c r="R5" s="83" t="s">
        <v>60</v>
      </c>
      <c r="S5" s="83">
        <v>3</v>
      </c>
      <c r="T5" s="206">
        <f>$T$2+IF(入力画面!$E$28=0,0,(入力画面!$E$28-1)*100000)</f>
        <v>430000</v>
      </c>
      <c r="U5" s="206">
        <f>$U$2*S5+$T$2+IF(入力画面!$E$28=0,0,(入力画面!$E$28-1)*100000)</f>
        <v>1360000</v>
      </c>
      <c r="V5" s="206">
        <f>$V$2*S5+$T$2+IF(入力画面!$E$28=0,0,(入力画面!$E$28-1)*100000)</f>
        <v>2140000</v>
      </c>
    </row>
    <row r="6" spans="1:23" x14ac:dyDescent="0.2">
      <c r="G6" s="35"/>
      <c r="H6" s="36">
        <f>IF(入力画面!$F$10&lt;1900000,0,IF(入力画面!$F$10&lt;3600000,ROUNDDOWN(入力画面!$F$10/4000,0)*1000*4*0.7-80000,0))</f>
        <v>0</v>
      </c>
      <c r="I6" s="19"/>
      <c r="M6" t="str">
        <f t="shared" si="0"/>
        <v/>
      </c>
      <c r="N6" s="21" t="s">
        <v>61</v>
      </c>
      <c r="O6" s="21" t="str">
        <f>IF(入力画面!P$28&lt;430000,"",IF(OR(P6="",P6&gt;V6),"",IF(AND(P6&lt;V6,P6&gt;U6),"2割","5割")))</f>
        <v/>
      </c>
      <c r="P6" s="25" t="str">
        <f>IF(入力画面!B$28+入力画面!F30=4,入力画面!P$28,"")</f>
        <v/>
      </c>
      <c r="R6" s="83" t="s">
        <v>61</v>
      </c>
      <c r="S6" s="83">
        <v>4</v>
      </c>
      <c r="T6" s="206">
        <f>$T$2+IF(入力画面!$E$28=0,0,(入力画面!$E$28-1)*100000)</f>
        <v>430000</v>
      </c>
      <c r="U6" s="206">
        <f>$U$2*S6+$T$2+IF(入力画面!$E$28=0,0,(入力画面!$E$28-1)*100000)</f>
        <v>1670000</v>
      </c>
      <c r="V6" s="206">
        <f>$V$2*S6+$T$2+IF(入力画面!$E$28=0,0,(入力画面!$E$28-1)*100000)</f>
        <v>2710000</v>
      </c>
    </row>
    <row r="7" spans="1:23" x14ac:dyDescent="0.2">
      <c r="D7" t="s">
        <v>24</v>
      </c>
      <c r="E7" t="e">
        <f>IF(E2&lt;18000000,E4,IF(E2&gt;17999999,E5))</f>
        <v>#REF!</v>
      </c>
      <c r="G7" s="35"/>
      <c r="H7" s="36">
        <f>IF(入力画面!$F$10&lt;3600000,0,IF(入力画面!$F$10&lt;6600000,ROUNDDOWN(入力画面!$F$10/4000,0)*1000*4*0.8-440000,0))</f>
        <v>0</v>
      </c>
      <c r="I7" s="19"/>
      <c r="M7" t="str">
        <f t="shared" si="0"/>
        <v/>
      </c>
      <c r="N7" s="21" t="s">
        <v>62</v>
      </c>
      <c r="O7" s="21" t="str">
        <f>IF(入力画面!P$28&lt;430000,"",IF(OR(P7="",P7&gt;V7),"",IF(AND(P7&lt;V7,P7&gt;U7),"2割","5割")))</f>
        <v/>
      </c>
      <c r="P7" s="25" t="str">
        <f>IF(入力画面!B$28+入力画面!F30=5,入力画面!P$28,"")</f>
        <v/>
      </c>
      <c r="R7" s="83" t="s">
        <v>62</v>
      </c>
      <c r="S7" s="83">
        <v>5</v>
      </c>
      <c r="T7" s="206">
        <f>$T$2+IF(入力画面!$E$28=0,0,(入力画面!$E$28-1)*100000)</f>
        <v>430000</v>
      </c>
      <c r="U7" s="206">
        <f>$U$2*S7+$T$2+IF(入力画面!$E$28=0,0,(入力画面!$E$28-1)*100000)</f>
        <v>1980000</v>
      </c>
      <c r="V7" s="206">
        <f>$V$2*S7+$T$2+IF(入力画面!$E$28=0,0,(入力画面!$E$28-1)*100000)</f>
        <v>3280000</v>
      </c>
    </row>
    <row r="8" spans="1:23" x14ac:dyDescent="0.2">
      <c r="G8" s="35"/>
      <c r="H8" s="36">
        <f>IF(入力画面!$F$10&lt;6600000,0,IF(入力画面!$F$10&lt;8500000,ROUNDDOWN(入力画面!$F$10*0.9-1100000,0)))</f>
        <v>0</v>
      </c>
      <c r="I8" s="19"/>
      <c r="M8" t="str">
        <f t="shared" si="0"/>
        <v/>
      </c>
      <c r="N8" s="21" t="s">
        <v>63</v>
      </c>
      <c r="O8" s="21" t="str">
        <f>IF(入力画面!P$28&lt;430000,"",IF(OR(P8="",P8&gt;V8),"",IF(AND(P8&lt;V8,P8&gt;U8),"2割","5割")))</f>
        <v/>
      </c>
      <c r="P8" s="25" t="str">
        <f>IF(入力画面!B$28+入力画面!F30=6,入力画面!P$28,"")</f>
        <v/>
      </c>
      <c r="R8" s="83" t="s">
        <v>63</v>
      </c>
      <c r="S8" s="83">
        <v>6</v>
      </c>
      <c r="T8" s="206">
        <f>$T$2+IF(入力画面!$E$28=0,0,(入力画面!$E$28-1)*100000)</f>
        <v>430000</v>
      </c>
      <c r="U8" s="206">
        <f>$U$2*S8+$T$2+IF(入力画面!$E$28=0,0,(入力画面!$E$28-1)*100000)</f>
        <v>2290000</v>
      </c>
      <c r="V8" s="206">
        <f>$V$2*S8+$T$2+IF(入力画面!$E$28=0,0,(入力画面!$E$28-1)*100000)</f>
        <v>3850000</v>
      </c>
    </row>
    <row r="9" spans="1:23" ht="13.8" thickBot="1" x14ac:dyDescent="0.25">
      <c r="D9" t="s">
        <v>23</v>
      </c>
      <c r="E9" t="e">
        <f>(E7-#REF!)*0.2</f>
        <v>#REF!</v>
      </c>
      <c r="G9" s="34"/>
      <c r="H9" s="37" t="b">
        <f>IF(入力画面!$F$10&gt;8500000,入力画面!$F$10-1950000)</f>
        <v>0</v>
      </c>
      <c r="I9" s="19"/>
      <c r="M9" t="str">
        <f t="shared" si="0"/>
        <v/>
      </c>
      <c r="N9" s="21" t="s">
        <v>64</v>
      </c>
      <c r="O9" s="21" t="str">
        <f>IF(入力画面!P$28&lt;430000,"",IF(OR(P9="",P9&gt;V9),"",IF(AND(P9&lt;V9,P9&gt;U9),"2割","5割")))</f>
        <v/>
      </c>
      <c r="P9" s="25" t="str">
        <f>IF(入力画面!B$28+入力画面!F30=7,入力画面!P$28,"")</f>
        <v/>
      </c>
      <c r="R9" s="83" t="s">
        <v>64</v>
      </c>
      <c r="S9" s="83">
        <v>7</v>
      </c>
      <c r="T9" s="206">
        <f>$T$2+IF(入力画面!$E$28=0,0,(入力画面!$E$28-1)*100000)</f>
        <v>430000</v>
      </c>
      <c r="U9" s="206">
        <f>$U$2*S9+$T$2+IF(入力画面!$E$28=0,0,(入力画面!$E$28-1)*100000)</f>
        <v>2600000</v>
      </c>
      <c r="V9" s="206">
        <f>$V$2*S9+$T$2+IF(入力画面!$E$28=0,0,(入力画面!$E$28-1)*100000)</f>
        <v>4420000</v>
      </c>
    </row>
    <row r="10" spans="1:23" x14ac:dyDescent="0.2">
      <c r="D10" t="s">
        <v>21</v>
      </c>
      <c r="E10" t="e">
        <f>IF(E9&lt;250001,E9,IF(E9&gt;250000,250000))</f>
        <v>#REF!</v>
      </c>
      <c r="M10" t="str">
        <f t="shared" ref="M10:M11" si="1">IF(O10="","",1)</f>
        <v/>
      </c>
      <c r="N10" s="21" t="s">
        <v>149</v>
      </c>
      <c r="O10" s="21" t="str">
        <f>IF(入力画面!P$28&lt;430000,"",IF(OR(P10="",P10&gt;V10),"",IF(AND(P10&lt;V10,P10&gt;U10),"2割","5割")))</f>
        <v/>
      </c>
      <c r="P10" s="25" t="str">
        <f>IF(入力画面!B$28+入力画面!F30=8,入力画面!P$28,"")</f>
        <v/>
      </c>
      <c r="R10" s="83" t="s">
        <v>149</v>
      </c>
      <c r="S10" s="83">
        <v>8</v>
      </c>
      <c r="T10" s="206">
        <f>$T$2+IF(入力画面!$E$28=0,0,(入力画面!$E$28-1)*100000)</f>
        <v>430000</v>
      </c>
      <c r="U10" s="206">
        <f>$U$2*S10+$T$2+IF(入力画面!$E$28=0,0,(入力画面!$E$28-1)*100000)</f>
        <v>2910000</v>
      </c>
      <c r="V10" s="206">
        <f>$V$2*S10+$T$2+IF(入力画面!$E$28=0,0,(入力画面!$E$28-1)*100000)</f>
        <v>4990000</v>
      </c>
      <c r="W10" s="19"/>
    </row>
    <row r="11" spans="1:23" ht="13.8" thickBot="1" x14ac:dyDescent="0.25">
      <c r="M11" t="str">
        <f t="shared" si="1"/>
        <v/>
      </c>
      <c r="N11" s="21" t="s">
        <v>150</v>
      </c>
      <c r="O11" s="21" t="str">
        <f>IF(入力画面!P$28&lt;430000,"",IF(OR(P11="",P11&gt;V11),"",IF(AND(P11&lt;V11,P11&gt;U11),"2割","5割")))</f>
        <v/>
      </c>
      <c r="P11" s="25" t="str">
        <f>IF(入力画面!B$28+入力画面!F30=9,入力画面!P$28,"")</f>
        <v/>
      </c>
      <c r="R11" s="83" t="s">
        <v>150</v>
      </c>
      <c r="S11" s="83">
        <v>9</v>
      </c>
      <c r="T11" s="206">
        <f>$T$2+IF(入力画面!$E$28=0,0,(入力画面!$E$28-1)*100000)</f>
        <v>430000</v>
      </c>
      <c r="U11" s="206">
        <f>$U$2*S11+$T$2+IF(入力画面!$E$28=0,0,(入力画面!$E$28-1)*100000)</f>
        <v>3220000</v>
      </c>
      <c r="V11" s="206">
        <f>$V$2*S11+$T$2+IF(入力画面!$E$28=0,0,(入力画面!$E$28-1)*100000)</f>
        <v>5560000</v>
      </c>
      <c r="W11" s="19"/>
    </row>
    <row r="12" spans="1:23" x14ac:dyDescent="0.2">
      <c r="D12" t="s">
        <v>25</v>
      </c>
      <c r="E12" t="e">
        <f>ROUNDDOWN((E7-E10)/100,0)*100</f>
        <v>#REF!</v>
      </c>
      <c r="F12">
        <v>2</v>
      </c>
      <c r="G12" s="33" t="str">
        <f>$G$2</f>
        <v>1900000以下</v>
      </c>
      <c r="H12" s="87" t="str">
        <f>IF(入力画面!$F$12&lt;651000,"0",IF(入力画面!$F$12&lt;1900000,入力画面!$F$12-650000,))</f>
        <v>0</v>
      </c>
      <c r="I12" s="19"/>
      <c r="J12" s="26" t="s">
        <v>35</v>
      </c>
      <c r="K12" s="27">
        <f>IF(入力画面!$H$12&lt;1300000,600000,IF(入力画面!$H$12&lt;4100000,入力画面!$H$12*0.25+275000,IF(入力画面!$H$12&lt;7700000,入力画面!$H$12*0.15+685000,入力画面!$H$12*0.05+1455000)))</f>
        <v>600000</v>
      </c>
      <c r="M12">
        <v>1</v>
      </c>
      <c r="O12" s="21">
        <f>COUNTBLANK(O3:O11)</f>
        <v>9</v>
      </c>
      <c r="T12" s="19"/>
      <c r="U12" s="19"/>
      <c r="V12" s="19"/>
      <c r="W12" s="19"/>
    </row>
    <row r="13" spans="1:23" ht="13.8" thickBot="1" x14ac:dyDescent="0.25">
      <c r="A13" s="1" t="s">
        <v>2</v>
      </c>
      <c r="B13" s="7" t="e">
        <f>IF(#REF!="○",380000)</f>
        <v>#REF!</v>
      </c>
      <c r="G13" s="34" t="str">
        <f>$G$3</f>
        <v>1900000以上</v>
      </c>
      <c r="H13" s="37">
        <f>IF(入力画面!$F$12&lt;1900000,0,IF(入力画面!$F$12&lt;3600000,$H$16,IF(入力画面!$F$12&lt;6600000,$H$17,IF(入力画面!$F$12&lt;8500000,$H$18,IF(入力画面!$F$12&gt;8500000,$H$19)))))</f>
        <v>0</v>
      </c>
      <c r="I13" s="19"/>
      <c r="J13" s="28" t="s">
        <v>53</v>
      </c>
      <c r="K13" s="29">
        <f>IF(入力画面!$H$12&lt;3300000,1100000,IF(入力画面!$H$12&lt;4100000,入力画面!$H$12*0.25+275000,IF(入力画面!$H$12&lt;7700000,入力画面!$H$12*0.15+685000,入力画面!$H$12*0.05+1455000)))</f>
        <v>1100000</v>
      </c>
      <c r="O13" s="21" t="str">
        <f>IF(O12=9,"非該当",VLOOKUP(M12,M3:O11,3,0))</f>
        <v>非該当</v>
      </c>
      <c r="R13" s="19"/>
      <c r="S13" s="19"/>
      <c r="T13" s="19"/>
      <c r="U13" s="19"/>
      <c r="V13" s="19"/>
      <c r="W13" s="19"/>
    </row>
    <row r="14" spans="1:23" ht="13.8" thickBot="1" x14ac:dyDescent="0.25">
      <c r="A14" s="5" t="s">
        <v>3</v>
      </c>
      <c r="B14" s="8" t="e">
        <f>#REF!</f>
        <v>#REF!</v>
      </c>
      <c r="J14" s="28" t="s">
        <v>54</v>
      </c>
      <c r="K14" s="30">
        <f>IF(入力画面!$C$12="40～64歳",$K12,$K13)</f>
        <v>1100000</v>
      </c>
      <c r="R14" s="19"/>
      <c r="S14" s="19"/>
      <c r="T14" s="19"/>
      <c r="U14" s="19"/>
      <c r="V14" s="19"/>
      <c r="W14" s="19"/>
    </row>
    <row r="15" spans="1:23" ht="13.8" thickBot="1" x14ac:dyDescent="0.25">
      <c r="A15" s="5" t="s">
        <v>4</v>
      </c>
      <c r="B15" s="8" t="e">
        <f>#REF!*630000</f>
        <v>#REF!</v>
      </c>
      <c r="D15" s="1" t="s">
        <v>26</v>
      </c>
      <c r="E15" s="2" t="e">
        <f>IF(#REF!&lt;380001,"",IF(#REF!&lt;400000,380000,IF(#REF!&lt;450000,360000)))</f>
        <v>#REF!</v>
      </c>
      <c r="G15" s="33" t="s">
        <v>1</v>
      </c>
      <c r="H15" s="38">
        <f>IF(入力画面!$F$12&lt;1628000,0,IF(入力画面!$F$12&lt;1800000,ROUNDDOWN(入力画面!$F$12/4000,0)*1000*4*0.6+100000))</f>
        <v>0</v>
      </c>
      <c r="I15" s="19"/>
      <c r="J15" s="31" t="s">
        <v>55</v>
      </c>
      <c r="K15" s="32">
        <f>入力画面!H12-K14</f>
        <v>-1100000</v>
      </c>
      <c r="R15" s="19"/>
      <c r="S15" s="19"/>
      <c r="T15" s="19"/>
      <c r="U15" s="19"/>
      <c r="V15" s="19"/>
      <c r="W15" s="19"/>
    </row>
    <row r="16" spans="1:23" ht="13.8" thickBot="1" x14ac:dyDescent="0.25">
      <c r="A16" s="5" t="s">
        <v>5</v>
      </c>
      <c r="B16" s="8" t="e">
        <f>#REF!*100000</f>
        <v>#REF!</v>
      </c>
      <c r="D16" s="5"/>
      <c r="E16" s="6" t="e">
        <f>IF(#REF!&lt;450000,"",IF(#REF!&lt;500000,310000,IF(#REF!&lt;550000,260000,IF(#REF!&lt;600000,210000))))</f>
        <v>#REF!</v>
      </c>
      <c r="G16" s="35"/>
      <c r="H16" s="36">
        <f>IF(入力画面!$F$12&lt;1900000,0,IF(入力画面!$F$12&lt;3600000,ROUNDDOWN(入力画面!$F$12/4000,0)*1000*4*0.7-80000,0))</f>
        <v>0</v>
      </c>
      <c r="I16" s="19"/>
      <c r="R16" s="19"/>
      <c r="S16" s="19"/>
      <c r="T16" s="19"/>
      <c r="U16" s="19"/>
      <c r="V16" s="19"/>
      <c r="W16" s="19"/>
    </row>
    <row r="17" spans="1:23" ht="13.8" thickBot="1" x14ac:dyDescent="0.25">
      <c r="A17" s="5" t="s">
        <v>6</v>
      </c>
      <c r="B17" s="8" t="e">
        <f>#REF!*480000</f>
        <v>#REF!</v>
      </c>
      <c r="D17" s="3"/>
      <c r="E17" s="4" t="e">
        <f>IF(#REF!&lt;600000,"",IF(#REF!&lt;650000,160000,IF(#REF!&lt;700000,60000,IF(#REF!&lt;750000,30000))))</f>
        <v>#REF!</v>
      </c>
      <c r="G17" s="35"/>
      <c r="H17" s="36">
        <f>IF(入力画面!$F$12&lt;3600000,0,IF(入力画面!$F$12&lt;6600000,ROUNDDOWN(入力画面!$F$12/4000,0)*1000*4*0.8-440000,0))</f>
        <v>0</v>
      </c>
      <c r="I17" s="19"/>
      <c r="N17" s="318" t="s">
        <v>120</v>
      </c>
      <c r="O17" s="319"/>
      <c r="R17" s="19"/>
      <c r="S17" s="19"/>
      <c r="T17" s="19"/>
      <c r="U17" s="19"/>
      <c r="V17" s="19"/>
      <c r="W17" s="19"/>
    </row>
    <row r="18" spans="1:23" x14ac:dyDescent="0.2">
      <c r="A18" s="5" t="s">
        <v>7</v>
      </c>
      <c r="B18" s="8" t="e">
        <f>#REF!*380000</f>
        <v>#REF!</v>
      </c>
      <c r="D18" s="3"/>
      <c r="E18" s="4" t="e">
        <f>IF(#REF!&lt;750000,"",IF(#REF!&lt;760000,30000,IF(#REF!&gt;759999,"")))</f>
        <v>#REF!</v>
      </c>
      <c r="G18" s="35"/>
      <c r="H18" s="36">
        <f>IF(入力画面!$F$12&lt;6600000,0,IF(入力画面!$F$12&lt;8500000,ROUNDDOWN(入力画面!$F$12*0.9-1100000,0)))</f>
        <v>0</v>
      </c>
      <c r="I18" s="19"/>
      <c r="R18" s="19"/>
      <c r="S18" s="19"/>
      <c r="T18" s="19"/>
      <c r="U18" s="19"/>
      <c r="V18" s="19"/>
      <c r="W18" s="19"/>
    </row>
    <row r="19" spans="1:23" ht="13.8" thickBot="1" x14ac:dyDescent="0.25">
      <c r="A19" s="5" t="s">
        <v>8</v>
      </c>
      <c r="B19" s="8" t="e">
        <f>#REF!*350000</f>
        <v>#REF!</v>
      </c>
      <c r="G19" s="34"/>
      <c r="H19" s="37" t="b">
        <f>IF(入力画面!$F$12&gt;8500000,入力画面!$F$12-1950000)</f>
        <v>0</v>
      </c>
      <c r="I19" s="19"/>
      <c r="R19" s="19"/>
      <c r="S19" s="19"/>
      <c r="T19" s="19"/>
      <c r="U19" s="19"/>
      <c r="V19" s="19"/>
      <c r="W19" s="19"/>
    </row>
    <row r="20" spans="1:23" ht="13.8" thickBot="1" x14ac:dyDescent="0.25">
      <c r="A20" s="5" t="s">
        <v>9</v>
      </c>
      <c r="B20" s="8" t="e">
        <f>#REF!*400000</f>
        <v>#REF!</v>
      </c>
      <c r="R20" s="19"/>
      <c r="S20" s="19"/>
      <c r="T20" s="19"/>
      <c r="U20" s="19"/>
      <c r="V20" s="19"/>
      <c r="W20" s="19"/>
    </row>
    <row r="21" spans="1:23" ht="13.8" thickBot="1" x14ac:dyDescent="0.25">
      <c r="A21" s="5" t="s">
        <v>10</v>
      </c>
      <c r="B21" s="8" t="e">
        <f>#REF!*270000</f>
        <v>#REF!</v>
      </c>
      <c r="N21" s="318" t="s">
        <v>144</v>
      </c>
      <c r="O21" s="319"/>
      <c r="R21" s="19"/>
      <c r="S21" s="19"/>
      <c r="T21" s="19"/>
      <c r="U21" s="19"/>
      <c r="V21" s="19"/>
      <c r="W21" s="19"/>
    </row>
    <row r="22" spans="1:23" ht="13.8" thickBot="1" x14ac:dyDescent="0.25">
      <c r="A22" s="5" t="s">
        <v>11</v>
      </c>
      <c r="B22" s="8" t="e">
        <f>#REF!</f>
        <v>#REF!</v>
      </c>
      <c r="F22">
        <v>3</v>
      </c>
      <c r="G22" s="33" t="str">
        <f>$G$2</f>
        <v>1900000以下</v>
      </c>
      <c r="H22" s="87" t="str">
        <f>IF(入力画面!$F$14&lt;651000,"0",IF(入力画面!$F$14&lt;1900000,入力画面!$F$14-650000,))</f>
        <v>0</v>
      </c>
      <c r="I22" s="19"/>
      <c r="J22" s="26" t="s">
        <v>35</v>
      </c>
      <c r="K22" s="27">
        <f>IF(入力画面!$H$14&lt;1300000,600000,IF(入力画面!$H$14&lt;4100000,入力画面!$H$14*0.25+275000,IF(入力画面!$H$14&lt;7700000,入力画面!$H$14*0.15+685000,入力画面!$H$14*0.05+1455000)))</f>
        <v>600000</v>
      </c>
      <c r="R22" s="49" t="s">
        <v>145</v>
      </c>
      <c r="S22" s="19"/>
      <c r="T22" s="19"/>
      <c r="U22" s="19"/>
      <c r="V22" s="19"/>
      <c r="W22" s="19"/>
    </row>
    <row r="23" spans="1:23" ht="13.8" thickBot="1" x14ac:dyDescent="0.25">
      <c r="A23" s="5" t="s">
        <v>19</v>
      </c>
      <c r="B23" s="8" t="e">
        <f>#REF!</f>
        <v>#REF!</v>
      </c>
      <c r="G23" s="34" t="str">
        <f>$G$3</f>
        <v>1900000以上</v>
      </c>
      <c r="H23" s="37">
        <f>IF(入力画面!$F$14&lt;1900000,0,IF(入力画面!$F$14&lt;3600000,$H$26,IF(入力画面!$F$14&lt;6600000,$H$27,IF(入力画面!$F$14&lt;8500000,$H$28,IF(入力画面!$F$14&gt;8500000,$H$29)))))</f>
        <v>0</v>
      </c>
      <c r="I23" s="19"/>
      <c r="J23" s="28" t="s">
        <v>53</v>
      </c>
      <c r="K23" s="29">
        <f>IF(入力画面!$H$14&lt;3300000,1100000,IF(入力画面!$H$14&lt;4100000,入力画面!$H$14*0.25+275000,IF(入力画面!$H$14&lt;7700000,入力画面!$H$14*0.15+685000,入力画面!$H$14*0.05+1455000)))</f>
        <v>1100000</v>
      </c>
      <c r="N23">
        <v>1</v>
      </c>
      <c r="O23" s="109">
        <f>IF(0&lt;H2+H3,H2+H3,0)</f>
        <v>0</v>
      </c>
      <c r="P23" s="110">
        <f>IF(0&lt;K5,K5,0)</f>
        <v>0</v>
      </c>
      <c r="Q23" s="111"/>
      <c r="R23" s="110">
        <f>IF(1&lt;S23,S23,(IF(AND(1&lt;O23,1&lt;P23,O23+P23&lt;100000),0,(IF(AND(1&lt;O23,1&lt;P23,O23+P23&lt;999999999),100000,0)))))</f>
        <v>0</v>
      </c>
      <c r="S23" s="19">
        <f>IF(AND(O23&lt;100000,100000&lt;P23),O23,0)</f>
        <v>0</v>
      </c>
      <c r="T23" s="19"/>
      <c r="U23" s="19"/>
      <c r="V23" s="19"/>
    </row>
    <row r="24" spans="1:23" ht="13.8" thickBot="1" x14ac:dyDescent="0.25">
      <c r="A24" s="5" t="s">
        <v>12</v>
      </c>
      <c r="B24" s="8" t="e">
        <f>#REF!</f>
        <v>#REF!</v>
      </c>
      <c r="J24" s="28" t="s">
        <v>54</v>
      </c>
      <c r="K24" s="29">
        <f>IF(入力画面!$C$14="40～64歳",$K22,$K23)</f>
        <v>1100000</v>
      </c>
      <c r="O24" s="67"/>
      <c r="R24" s="19"/>
      <c r="S24" s="19"/>
    </row>
    <row r="25" spans="1:23" ht="13.8" thickBot="1" x14ac:dyDescent="0.25">
      <c r="A25" s="5" t="s">
        <v>14</v>
      </c>
      <c r="B25" s="7" t="e">
        <f>IF(#REF!="○",400000)</f>
        <v>#REF!</v>
      </c>
      <c r="G25" s="33" t="s">
        <v>1</v>
      </c>
      <c r="H25" s="38">
        <f>IF(入力画面!$F$14&lt;1628000,0,IF(入力画面!$F$14&lt;1800000,ROUNDDOWN(入力画面!$F$14/4000,0)*1000*4*0.6+100000))</f>
        <v>0</v>
      </c>
      <c r="I25" s="19"/>
      <c r="J25" s="31" t="s">
        <v>55</v>
      </c>
      <c r="K25" s="32">
        <f>入力画面!H14-K24</f>
        <v>-1100000</v>
      </c>
      <c r="N25">
        <v>2</v>
      </c>
      <c r="O25" s="112">
        <f>IF(0&lt;H12+H13,H12+H13,0)</f>
        <v>0</v>
      </c>
      <c r="P25" s="110">
        <f>IF(0&lt;K15,K15,0)</f>
        <v>0</v>
      </c>
      <c r="Q25" s="111"/>
      <c r="R25" s="110">
        <f>IF(1&lt;S25,S25,(IF(AND(1&lt;O25,1&lt;P25,O25+P25&lt;100000),0,(IF(AND(1&lt;O25,1&lt;P25,O25+P25&lt;999999999),100000,0)))))</f>
        <v>0</v>
      </c>
      <c r="S25" s="19">
        <f>IF(AND(O25&lt;100000,100000&lt;P25),O25,0)</f>
        <v>0</v>
      </c>
    </row>
    <row r="26" spans="1:23" ht="13.8" thickBot="1" x14ac:dyDescent="0.25">
      <c r="A26" s="5" t="s">
        <v>13</v>
      </c>
      <c r="B26" s="7" t="e">
        <f>IF(#REF!="○",270000)</f>
        <v>#REF!</v>
      </c>
      <c r="G26" s="35"/>
      <c r="H26" s="36">
        <f>IF(入力画面!$F$14&lt;1900000,0,IF(入力画面!$F$14&lt;3600000,ROUNDDOWN(入力画面!$F$14/4000,0)*1000*4*0.7-80000,0))</f>
        <v>0</v>
      </c>
      <c r="I26" s="19"/>
    </row>
    <row r="27" spans="1:23" ht="13.8" thickBot="1" x14ac:dyDescent="0.25">
      <c r="A27" s="5" t="s">
        <v>15</v>
      </c>
      <c r="B27" s="7" t="e">
        <f>IF(#REF!="○",270000)</f>
        <v>#REF!</v>
      </c>
      <c r="G27" s="35"/>
      <c r="H27" s="36">
        <f>IF(入力画面!$F$14&lt;3600000,0,IF(入力画面!$F$14&lt;6600000,ROUNDDOWN(入力画面!$F$14/4000,0)*1000*4*0.8-440000,0))</f>
        <v>0</v>
      </c>
      <c r="I27" s="19"/>
      <c r="N27">
        <v>3</v>
      </c>
      <c r="O27" s="112">
        <f>IF(0&lt;H22+H23,H22+H23,0)</f>
        <v>0</v>
      </c>
      <c r="P27" s="110">
        <f>IF(0&lt;K25,K25,0)</f>
        <v>0</v>
      </c>
      <c r="Q27" s="111"/>
      <c r="R27" s="110">
        <f>IF(1&lt;S27,S27,(IF(AND(1&lt;O27,1&lt;P27,O27+P27&lt;100000),0,(IF(AND(1&lt;O27,1&lt;P27,O27+P27&lt;999999999),100000,0)))))</f>
        <v>0</v>
      </c>
      <c r="S27" s="19">
        <f>IF(AND(O27&lt;100000,100000&lt;P27),O27,0)</f>
        <v>0</v>
      </c>
    </row>
    <row r="28" spans="1:23" ht="13.8" thickBot="1" x14ac:dyDescent="0.25">
      <c r="A28" s="5" t="s">
        <v>16</v>
      </c>
      <c r="B28" s="7" t="e">
        <f>IF(#REF!="○",350000)</f>
        <v>#REF!</v>
      </c>
      <c r="G28" s="35"/>
      <c r="H28" s="36">
        <f>IF(入力画面!$F$14&lt;6600000,0,IF(入力画面!$F$14&lt;8500000,ROUNDDOWN(入力画面!$F$14*0.9-1100000,0)))</f>
        <v>0</v>
      </c>
      <c r="I28" s="19"/>
    </row>
    <row r="29" spans="1:23" ht="13.8" thickBot="1" x14ac:dyDescent="0.25">
      <c r="A29" s="5" t="s">
        <v>17</v>
      </c>
      <c r="B29" s="7" t="e">
        <f>IF(#REF!="○",270000)</f>
        <v>#REF!</v>
      </c>
      <c r="G29" s="34"/>
      <c r="H29" s="37" t="b">
        <f>IF(入力画面!$F$14&gt;8500000,入力画面!$F$14-1950000)</f>
        <v>0</v>
      </c>
      <c r="I29" s="19"/>
      <c r="N29">
        <v>4</v>
      </c>
      <c r="O29" s="112">
        <f>IF(0&lt;H32+H33,H32+H33,0)</f>
        <v>0</v>
      </c>
      <c r="P29" s="110">
        <f>IF(0&lt;K35,K35,0)</f>
        <v>0</v>
      </c>
      <c r="Q29" s="111"/>
      <c r="R29" s="110">
        <f>IF(1&lt;S29,S29,(IF(AND(1&lt;O29,1&lt;P29,O29+P29&lt;100000),0,(IF(AND(1&lt;O29,1&lt;P29,O29+P29&lt;999999999),100000,0)))))</f>
        <v>0</v>
      </c>
      <c r="S29" s="19">
        <f>IF(AND(O29&lt;100000,100000&lt;P29),O29,0)</f>
        <v>0</v>
      </c>
    </row>
    <row r="30" spans="1:23" ht="13.8" thickBot="1" x14ac:dyDescent="0.25">
      <c r="A30" s="5" t="s">
        <v>18</v>
      </c>
      <c r="B30" s="7" t="e">
        <f>IF(#REF!="○",270000)</f>
        <v>#REF!</v>
      </c>
    </row>
    <row r="31" spans="1:23" ht="13.8" thickBot="1" x14ac:dyDescent="0.25">
      <c r="A31" s="3"/>
      <c r="B31" s="9" t="e">
        <f>SUM(B13:B30)</f>
        <v>#REF!</v>
      </c>
      <c r="N31">
        <v>5</v>
      </c>
      <c r="O31" s="112">
        <f>IF(0&lt;H32+H33,H32+H33,0)</f>
        <v>0</v>
      </c>
      <c r="P31" s="110">
        <f>IF(0&lt;K35,K35,0)</f>
        <v>0</v>
      </c>
      <c r="Q31" s="111"/>
      <c r="R31" s="110">
        <f>IF(1&lt;S31,S31,(IF(AND(1&lt;O31,1&lt;P31,O31+P31&lt;100000),0,(IF(AND(1&lt;O31,1&lt;P31,O31+P31&lt;999999999),100000,0)))))</f>
        <v>0</v>
      </c>
      <c r="S31" s="19">
        <f>IF(AND(O31&lt;100000,100000&lt;P31),O31,0)</f>
        <v>0</v>
      </c>
    </row>
    <row r="32" spans="1:23" ht="13.8" thickBot="1" x14ac:dyDescent="0.25">
      <c r="F32">
        <v>4</v>
      </c>
      <c r="G32" s="33" t="str">
        <f>$G$2</f>
        <v>1900000以下</v>
      </c>
      <c r="H32" s="87" t="str">
        <f>IF(入力画面!$F$16&lt;651000,"0",IF(入力画面!$F$16&lt;1900000,入力画面!$F$16-650000,))</f>
        <v>0</v>
      </c>
      <c r="I32" s="19"/>
      <c r="J32" s="26" t="s">
        <v>35</v>
      </c>
      <c r="K32" s="27">
        <f>IF(入力画面!$H$16&lt;1300000,600000,IF(入力画面!$H$16&lt;4100000,入力画面!$H$16*0.25+275000,IF(入力画面!$H$16&lt;7700000,入力画面!$H$16*0.15+685000,入力画面!$H$16*0.05+1455000)))</f>
        <v>600000</v>
      </c>
    </row>
    <row r="33" spans="6:19" ht="13.8" thickBot="1" x14ac:dyDescent="0.25">
      <c r="G33" s="34" t="str">
        <f>$G$3</f>
        <v>1900000以上</v>
      </c>
      <c r="H33" s="37">
        <f>IF(入力画面!$F$16&lt;1900000,0,IF(入力画面!$F$16&lt;3600000,$H$36,IF(入力画面!$F$16&lt;6600000,$H$37,IF(入力画面!$F$16&lt;8500000,$H$38,IF(入力画面!$F$16&gt;8500000,$H$39)))))</f>
        <v>0</v>
      </c>
      <c r="I33" s="19"/>
      <c r="J33" s="28" t="s">
        <v>53</v>
      </c>
      <c r="K33" s="29">
        <f>IF(入力画面!$H$16&lt;3300000,1100000,IF(入力画面!$H$16&lt;4100000,入力画面!$H$16*0.25+275000,IF(入力画面!$H$16&lt;7700000,入力画面!$H$16*0.15+685000,入力画面!$H$16*0.05+1455000)))</f>
        <v>1100000</v>
      </c>
      <c r="N33">
        <v>6</v>
      </c>
      <c r="O33" s="112">
        <f>IF(0&lt;H52+H53,H52+H53,0)</f>
        <v>0</v>
      </c>
      <c r="P33" s="110">
        <f>IF(0&lt;K55,K55,0)</f>
        <v>0</v>
      </c>
      <c r="Q33" s="111"/>
      <c r="R33" s="110">
        <f>IF(1&lt;S33,S33,(IF(AND(1&lt;O33,1&lt;P33,O33+P33&lt;100000),0,(IF(AND(1&lt;O33,1&lt;P33,O33+P33&lt;999999999),100000,0)))))</f>
        <v>0</v>
      </c>
      <c r="S33" s="19">
        <f>IF(AND(O33&lt;100000,100000&lt;P33),O33,0)</f>
        <v>0</v>
      </c>
    </row>
    <row r="34" spans="6:19" ht="13.8" thickBot="1" x14ac:dyDescent="0.25">
      <c r="J34" s="28" t="s">
        <v>54</v>
      </c>
      <c r="K34" s="29">
        <f>IF(入力画面!$C$16="40～64歳",$K32,$K33)</f>
        <v>1100000</v>
      </c>
    </row>
    <row r="35" spans="6:19" ht="13.8" thickBot="1" x14ac:dyDescent="0.25">
      <c r="G35" s="33" t="s">
        <v>1</v>
      </c>
      <c r="H35" s="38">
        <f>IF(入力画面!$F$16&lt;1628000,0,IF(入力画面!$F$16&lt;1800000,ROUNDDOWN(入力画面!$F$16/4000,0)*1000*4*0.6+100000))</f>
        <v>0</v>
      </c>
      <c r="I35" s="19"/>
      <c r="J35" s="31" t="s">
        <v>55</v>
      </c>
      <c r="K35" s="32">
        <f>入力画面!H16-K34</f>
        <v>-1100000</v>
      </c>
      <c r="N35">
        <v>7</v>
      </c>
      <c r="O35" s="112">
        <f>IF(0&lt;H62+H63,H62+H63,0)</f>
        <v>0</v>
      </c>
      <c r="P35" s="110">
        <f>IF(0&lt;K65,K65,0)</f>
        <v>0</v>
      </c>
      <c r="Q35" s="111"/>
      <c r="R35" s="110">
        <f>IF(1&lt;S35,S35,(IF(AND(1&lt;O35,1&lt;P35,O35+P35&lt;100000),0,(IF(AND(1&lt;O35,1&lt;P35,O35+P35&lt;999999999),100000,0)))))</f>
        <v>0</v>
      </c>
      <c r="S35" s="19">
        <f>IF(AND(O35&lt;100000,100000&lt;P35),O35,0)</f>
        <v>0</v>
      </c>
    </row>
    <row r="36" spans="6:19" ht="13.8" thickBot="1" x14ac:dyDescent="0.25">
      <c r="G36" s="35"/>
      <c r="H36" s="36">
        <f>IF(入力画面!$F$16&lt;1900000,0,IF(入力画面!$F$16&lt;3600000,ROUNDDOWN(入力画面!$F$16/4000,0)*1000*4*0.7-80000,0))</f>
        <v>0</v>
      </c>
      <c r="I36" s="19"/>
    </row>
    <row r="37" spans="6:19" ht="13.8" thickBot="1" x14ac:dyDescent="0.25">
      <c r="G37" s="35"/>
      <c r="H37" s="36">
        <f>IF(入力画面!$F$16&lt;3600000,0,IF(入力画面!$F$16&lt;6600000,ROUNDDOWN(入力画面!$F$16/4000,0)*1000*4*0.8-440000,0))</f>
        <v>0</v>
      </c>
      <c r="I37" s="19"/>
      <c r="N37">
        <v>8</v>
      </c>
      <c r="O37" s="112">
        <f>IF(0&lt;H72+H73,H72+H73,0)</f>
        <v>0</v>
      </c>
      <c r="P37" s="110">
        <f>IF(0&lt;K75,K75,0)</f>
        <v>0</v>
      </c>
      <c r="Q37" s="111"/>
      <c r="R37" s="110">
        <f>IF(1&lt;S37,S37,(IF(AND(1&lt;O37,1&lt;P37,O37+P37&lt;100000),0,(IF(AND(1&lt;O37,1&lt;P37,O37+P37&lt;999999999),100000,0)))))</f>
        <v>0</v>
      </c>
      <c r="S37" s="19">
        <f>IF(AND(O37&lt;100000,100000&lt;P37),O37,0)</f>
        <v>0</v>
      </c>
    </row>
    <row r="38" spans="6:19" ht="13.8" thickBot="1" x14ac:dyDescent="0.25">
      <c r="G38" s="35"/>
      <c r="H38" s="36">
        <f>IF(入力画面!$F$16&lt;6600000,0,IF(入力画面!$F$16&lt;8500000,ROUNDDOWN(入力画面!$F$16*0.9-1100000,0)))</f>
        <v>0</v>
      </c>
      <c r="I38" s="19"/>
    </row>
    <row r="39" spans="6:19" ht="13.8" thickBot="1" x14ac:dyDescent="0.25">
      <c r="G39" s="34"/>
      <c r="H39" s="37" t="b">
        <f>IF(入力画面!$F$16&gt;8500000,入力画面!$F$16-1950000)</f>
        <v>0</v>
      </c>
      <c r="I39" s="19"/>
      <c r="N39">
        <v>9</v>
      </c>
      <c r="O39" s="112">
        <f>IF(0&lt;H82+H83,H82+H83,0)</f>
        <v>0</v>
      </c>
      <c r="P39" s="110">
        <f>IF(0&lt;K85,K85,0)</f>
        <v>0</v>
      </c>
      <c r="Q39" s="111"/>
      <c r="R39" s="110">
        <f>IF(1&lt;S39,S39,(IF(AND(1&lt;O39,1&lt;P39,O39+P39&lt;100000),0,(IF(AND(1&lt;O39,1&lt;P39,O39+P39&lt;999999999),100000,0)))))</f>
        <v>0</v>
      </c>
      <c r="S39" s="19">
        <f>IF(AND(O39&lt;100000,100000&lt;P39),O39,0)</f>
        <v>0</v>
      </c>
    </row>
    <row r="41" spans="6:19" ht="13.8" thickBot="1" x14ac:dyDescent="0.25"/>
    <row r="42" spans="6:19" x14ac:dyDescent="0.2">
      <c r="F42">
        <v>5</v>
      </c>
      <c r="G42" s="33" t="str">
        <f>$G$2</f>
        <v>1900000以下</v>
      </c>
      <c r="H42" s="87" t="str">
        <f>IF(入力画面!$F$18&lt;651000,"0",IF(入力画面!$F$18&lt;1900000,入力画面!$F$18-650000,))</f>
        <v>0</v>
      </c>
      <c r="I42" s="19"/>
      <c r="J42" s="26" t="s">
        <v>35</v>
      </c>
      <c r="K42" s="27">
        <f>IF(入力画面!$H$18&lt;1300000,600000,IF(入力画面!$H$18&lt;4100000,入力画面!$H$18*0.25+275000,IF(入力画面!$H$18&lt;7700000,入力画面!$H$18*0.15+685000,入力画面!$H$18*0.05+1455000)))</f>
        <v>600000</v>
      </c>
    </row>
    <row r="43" spans="6:19" ht="13.8" thickBot="1" x14ac:dyDescent="0.25">
      <c r="G43" s="34" t="str">
        <f>$G$3</f>
        <v>1900000以上</v>
      </c>
      <c r="H43" s="37">
        <f>IF(入力画面!$F$18&lt;1900000,0,IF(入力画面!$F$18&lt;3600000,$H$46,IF(入力画面!$F$18&lt;6600000,$H$47,IF(入力画面!$F$18&lt;8500000,$H$48,IF(入力画面!$F$18&gt;8500000,$H$49)))))</f>
        <v>0</v>
      </c>
      <c r="I43" s="19"/>
      <c r="J43" s="28" t="s">
        <v>53</v>
      </c>
      <c r="K43" s="29">
        <f>IF(入力画面!$H$18&lt;3300000,1100000,IF(入力画面!$H$18&lt;4100000,入力画面!$H$18*0.25+275000,IF(入力画面!$H$18&lt;7700000,入力画面!$H$18*0.15+685000,入力画面!$H$18*0.05+1455000)))</f>
        <v>1100000</v>
      </c>
    </row>
    <row r="44" spans="6:19" ht="13.8" thickBot="1" x14ac:dyDescent="0.25">
      <c r="J44" s="28" t="s">
        <v>54</v>
      </c>
      <c r="K44" s="29">
        <f>IF(入力画面!$C$18="40～64歳",$K42,$K43)</f>
        <v>1100000</v>
      </c>
    </row>
    <row r="45" spans="6:19" ht="13.8" thickBot="1" x14ac:dyDescent="0.25">
      <c r="G45" s="33" t="s">
        <v>1</v>
      </c>
      <c r="H45" s="38">
        <f>IF(入力画面!$F$18&lt;1628000,0,IF(入力画面!$F$18&lt;1800000,ROUNDDOWN(入力画面!$F$18/4000,0)*1000*4*0.6+100000))</f>
        <v>0</v>
      </c>
      <c r="I45" s="19"/>
      <c r="J45" s="31" t="s">
        <v>55</v>
      </c>
      <c r="K45" s="32">
        <f>入力画面!H18-K44</f>
        <v>-1100000</v>
      </c>
    </row>
    <row r="46" spans="6:19" x14ac:dyDescent="0.2">
      <c r="G46" s="35"/>
      <c r="H46" s="36">
        <f>IF(入力画面!$F$18&lt;1900000,0,IF(入力画面!$F$18&lt;3600000,ROUNDDOWN(入力画面!$F$18/4000,0)*1000*4*0.7-80000,0))</f>
        <v>0</v>
      </c>
      <c r="I46" s="19"/>
    </row>
    <row r="47" spans="6:19" x14ac:dyDescent="0.2">
      <c r="G47" s="35"/>
      <c r="H47" s="36">
        <f>IF(入力画面!$F$18&lt;3600000,0,IF(入力画面!$F$18&lt;6600000,ROUNDDOWN(入力画面!$F$18/4000,0)*1000*4*0.8-440000,0))</f>
        <v>0</v>
      </c>
      <c r="I47" s="19"/>
    </row>
    <row r="48" spans="6:19" x14ac:dyDescent="0.2">
      <c r="G48" s="35"/>
      <c r="H48" s="36">
        <f>IF(入力画面!$F$18&lt;6600000,0,IF(入力画面!$F$18&lt;8500000,ROUNDDOWN(入力画面!$F$18*0.9-1100000,0)))</f>
        <v>0</v>
      </c>
      <c r="I48" s="19"/>
    </row>
    <row r="49" spans="6:11" ht="13.8" thickBot="1" x14ac:dyDescent="0.25">
      <c r="G49" s="34"/>
      <c r="H49" s="37" t="b">
        <f>IF(入力画面!$F$18&gt;8500000,入力画面!$F$18-1950000)</f>
        <v>0</v>
      </c>
      <c r="I49" s="19"/>
    </row>
    <row r="51" spans="6:11" ht="13.8" thickBot="1" x14ac:dyDescent="0.25"/>
    <row r="52" spans="6:11" x14ac:dyDescent="0.2">
      <c r="F52">
        <v>6</v>
      </c>
      <c r="G52" s="33" t="str">
        <f>$G$2</f>
        <v>1900000以下</v>
      </c>
      <c r="H52" s="87" t="str">
        <f>IF(入力画面!$F$20&lt;651000,"0",IF(入力画面!$F$20&lt;1900000,入力画面!$F$20-650000,))</f>
        <v>0</v>
      </c>
      <c r="I52" s="19"/>
      <c r="J52" s="26" t="s">
        <v>35</v>
      </c>
      <c r="K52" s="27">
        <f>IF(入力画面!$H$20&lt;1300000,600000,IF(入力画面!$H$20&lt;4100000,入力画面!$H$20*0.25+275000,IF(入力画面!$H$20&lt;7700000,入力画面!$H$20*0.15+685000,入力画面!$H$20*0.05+1455000)))</f>
        <v>600000</v>
      </c>
    </row>
    <row r="53" spans="6:11" ht="13.8" thickBot="1" x14ac:dyDescent="0.25">
      <c r="G53" s="34" t="str">
        <f>$G$3</f>
        <v>1900000以上</v>
      </c>
      <c r="H53" s="37">
        <f>IF(入力画面!$F$20&lt;1900000,0,IF(入力画面!$F$20&lt;3600000,$H$56,IF(入力画面!$F$20&lt;6600000,$H$57,IF(入力画面!$F$20&lt;8500000,$H$58,IF(入力画面!$F$20&gt;8500000,$H$59)))))</f>
        <v>0</v>
      </c>
      <c r="I53" s="19"/>
      <c r="J53" s="28" t="s">
        <v>53</v>
      </c>
      <c r="K53" s="29">
        <f>IF(入力画面!$H$20&lt;3300000,1100000,IF(入力画面!$H$20&lt;4100000,入力画面!$H$20*0.25+275000,IF(入力画面!$H$20&lt;7700000,入力画面!$H$20*0.15+685000,入力画面!$H$20*0.05+1455000)))</f>
        <v>1100000</v>
      </c>
    </row>
    <row r="54" spans="6:11" ht="13.8" thickBot="1" x14ac:dyDescent="0.25">
      <c r="J54" s="28" t="s">
        <v>54</v>
      </c>
      <c r="K54" s="29">
        <f>IF(入力画面!$C$20="40～64歳",$K52,$K53)</f>
        <v>1100000</v>
      </c>
    </row>
    <row r="55" spans="6:11" ht="13.8" thickBot="1" x14ac:dyDescent="0.25">
      <c r="G55" s="33" t="s">
        <v>1</v>
      </c>
      <c r="H55" s="38">
        <f>IF(入力画面!$F$20&lt;1628000,0,IF(入力画面!$F$20&lt;1800000,ROUNDDOWN(入力画面!$F$20/4000,0)*1000*4*0.6+100000))</f>
        <v>0</v>
      </c>
      <c r="I55" s="19"/>
      <c r="J55" s="31" t="s">
        <v>55</v>
      </c>
      <c r="K55" s="32">
        <f>入力画面!H20-K54</f>
        <v>-1100000</v>
      </c>
    </row>
    <row r="56" spans="6:11" x14ac:dyDescent="0.2">
      <c r="G56" s="35"/>
      <c r="H56" s="36">
        <f>IF(入力画面!$F$20&lt;1900000,0,IF(入力画面!$F$20&lt;3600000,ROUNDDOWN(入力画面!$F$20/4000,0)*1000*4*0.7-80000,0))</f>
        <v>0</v>
      </c>
      <c r="I56" s="19"/>
    </row>
    <row r="57" spans="6:11" x14ac:dyDescent="0.2">
      <c r="G57" s="35"/>
      <c r="H57" s="36">
        <f>IF(入力画面!$F$20&lt;3600000,0,IF(入力画面!$F$20&lt;6600000,ROUNDDOWN(入力画面!$F$20/4000,0)*1000*4*0.8-440000,0))</f>
        <v>0</v>
      </c>
      <c r="I57" s="19"/>
    </row>
    <row r="58" spans="6:11" x14ac:dyDescent="0.2">
      <c r="G58" s="35"/>
      <c r="H58" s="36">
        <f>IF(入力画面!$F$20&lt;6600000,0,IF(入力画面!$F$20&lt;8500000,ROUNDDOWN(入力画面!$F$20*0.9-1100000,0)))</f>
        <v>0</v>
      </c>
      <c r="I58" s="19"/>
    </row>
    <row r="59" spans="6:11" ht="13.8" thickBot="1" x14ac:dyDescent="0.25">
      <c r="G59" s="34"/>
      <c r="H59" s="37" t="b">
        <f>IF(入力画面!$F$20&gt;8500000,入力画面!$F$20-1950000)</f>
        <v>0</v>
      </c>
      <c r="I59" s="19"/>
    </row>
    <row r="61" spans="6:11" ht="13.8" thickBot="1" x14ac:dyDescent="0.25"/>
    <row r="62" spans="6:11" x14ac:dyDescent="0.2">
      <c r="F62">
        <v>7</v>
      </c>
      <c r="G62" s="33" t="str">
        <f>$G$2</f>
        <v>1900000以下</v>
      </c>
      <c r="H62" s="87" t="str">
        <f>IF(入力画面!$F$22&lt;650000,"0",IF(入力画面!$F$22&lt;1900000,入力画面!$F$22-650000))</f>
        <v>0</v>
      </c>
      <c r="I62" s="19"/>
      <c r="J62" s="26" t="s">
        <v>35</v>
      </c>
      <c r="K62" s="27">
        <f>IF(入力画面!$H$22&lt;1300000,600000,IF(入力画面!$H$22&lt;4100000,入力画面!$H$22*0.25+275000,IF(入力画面!$H$22&lt;7700000,入力画面!$H$22*0.15+685000,入力画面!$H$22*0.05+1455000)))</f>
        <v>600000</v>
      </c>
    </row>
    <row r="63" spans="6:11" ht="13.8" thickBot="1" x14ac:dyDescent="0.25">
      <c r="G63" s="34" t="str">
        <f>$G$3</f>
        <v>1900000以上</v>
      </c>
      <c r="H63" s="37">
        <f>IF(入力画面!$F$22&lt;1900000,0,IF(入力画面!$F$22&lt;3600000,$H$66,IF(入力画面!$F$22&lt;6600000,$H$67,IF(入力画面!$F$22&lt;8500000,$H$68,IF(入力画面!$F$22&gt;8500000,$H$69)))))</f>
        <v>0</v>
      </c>
      <c r="I63" s="19"/>
      <c r="J63" s="28" t="s">
        <v>53</v>
      </c>
      <c r="K63" s="29">
        <f>IF(入力画面!$H$22&lt;3300000,1100000,IF(入力画面!$H$22&lt;4100000,入力画面!$H$22*0.25+275000,IF(入力画面!$H$22&lt;7700000,入力画面!$H$22*0.15+685000,入力画面!$H$22*0.05+1455000)))</f>
        <v>1100000</v>
      </c>
    </row>
    <row r="64" spans="6:11" ht="13.8" thickBot="1" x14ac:dyDescent="0.25">
      <c r="J64" s="28" t="s">
        <v>54</v>
      </c>
      <c r="K64" s="29">
        <f>IF(入力画面!$C$22="40～64歳",$K62,$K63)</f>
        <v>1100000</v>
      </c>
    </row>
    <row r="65" spans="6:11" ht="13.8" thickBot="1" x14ac:dyDescent="0.25">
      <c r="G65" s="33" t="s">
        <v>1</v>
      </c>
      <c r="H65" s="38">
        <f>IF(入力画面!$F$22&lt;1628000,0,IF(入力画面!$F$22&lt;1800000,ROUNDDOWN(入力画面!$F$22/4000,0)*1000*4*0.6+100000))</f>
        <v>0</v>
      </c>
      <c r="I65" s="19"/>
      <c r="J65" s="31" t="s">
        <v>55</v>
      </c>
      <c r="K65" s="32">
        <f>入力画面!H22-K64</f>
        <v>-1100000</v>
      </c>
    </row>
    <row r="66" spans="6:11" x14ac:dyDescent="0.2">
      <c r="G66" s="35"/>
      <c r="H66" s="36">
        <f>IF(入力画面!$F$22&lt;1800000,0,IF(入力画面!$F$22&lt;3600000,ROUNDDOWN(入力画面!$F$22/4000,0)*1000*4*0.7-80000))</f>
        <v>0</v>
      </c>
      <c r="I66" s="19"/>
    </row>
    <row r="67" spans="6:11" x14ac:dyDescent="0.2">
      <c r="G67" s="35"/>
      <c r="H67" s="36">
        <f>IF(入力画面!$F$22&lt;3600000,0,IF(入力画面!$F$22&lt;6600000,ROUNDDOWN(入力画面!$F$22/4000,0)*1000*4*0.8-440000))</f>
        <v>0</v>
      </c>
      <c r="I67" s="19"/>
    </row>
    <row r="68" spans="6:11" x14ac:dyDescent="0.2">
      <c r="G68" s="35"/>
      <c r="H68" s="36">
        <f>IF(入力画面!$F$22&lt;6600000,0,IF(入力画面!$F$22&lt;8500000,ROUNDDOWN(入力画面!$F$22*0.9-1100000,0)))</f>
        <v>0</v>
      </c>
      <c r="I68" s="19"/>
    </row>
    <row r="69" spans="6:11" ht="13.8" thickBot="1" x14ac:dyDescent="0.25">
      <c r="G69" s="34"/>
      <c r="H69" s="37" t="b">
        <f>IF(入力画面!$F$22&gt;8499999,入力画面!$F$22-1950000)</f>
        <v>0</v>
      </c>
      <c r="I69" s="19"/>
    </row>
    <row r="71" spans="6:11" ht="13.8" thickBot="1" x14ac:dyDescent="0.25"/>
    <row r="72" spans="6:11" x14ac:dyDescent="0.2">
      <c r="F72">
        <v>8</v>
      </c>
      <c r="G72" s="33" t="str">
        <f>$G$2</f>
        <v>1900000以下</v>
      </c>
      <c r="H72" s="87" t="str">
        <f>IF(入力画面!$F$24&lt;=650000,"0",IF(入力画面!$F$24&lt;=1900000,入力画面!$F$24-650000))</f>
        <v>0</v>
      </c>
      <c r="I72" s="19"/>
      <c r="J72" s="26" t="s">
        <v>35</v>
      </c>
      <c r="K72" s="27">
        <f>IF(入力画面!$H$24&lt;1300000,600000,IF(入力画面!$H$24&lt;4100000,入力画面!$H$24*0.25+275000,IF(入力画面!$H$24&lt;7700000,入力画面!$H$24*0.15+685000,入力画面!$H$24*0.05+1455000)))</f>
        <v>600000</v>
      </c>
    </row>
    <row r="73" spans="6:11" ht="13.8" thickBot="1" x14ac:dyDescent="0.25">
      <c r="G73" s="34" t="str">
        <f>$G$3</f>
        <v>1900000以上</v>
      </c>
      <c r="H73" s="37">
        <f>IF(入力画面!$F$24&lt;=1900000,0,IF(入力画面!$F$24&lt;=3600000,$H$76,IF(入力画面!$F$24&lt;=6600000,$H$77,IF(入力画面!$F$24&lt;=8500000,$H$78,IF(入力画面!$F$24&gt;8500000,$H$79)))))</f>
        <v>0</v>
      </c>
      <c r="I73" s="19"/>
      <c r="J73" s="28" t="s">
        <v>53</v>
      </c>
      <c r="K73" s="29">
        <f>IF(入力画面!$H$24&lt;3300000,1100000,IF(入力画面!$H$24&lt;4100000,入力画面!$H$24*0.25+275000,IF(入力画面!$H$24&lt;7700000,入力画面!$H$24*0.15+685000,入力画面!$H$24*0.05+1455000)))</f>
        <v>1100000</v>
      </c>
    </row>
    <row r="74" spans="6:11" ht="13.8" thickBot="1" x14ac:dyDescent="0.25">
      <c r="J74" s="28" t="s">
        <v>54</v>
      </c>
      <c r="K74" s="29">
        <f>IF(入力画面!$C$24="40～64歳",$K72,$K73)</f>
        <v>1100000</v>
      </c>
    </row>
    <row r="75" spans="6:11" ht="13.8" thickBot="1" x14ac:dyDescent="0.25">
      <c r="G75" s="33" t="s">
        <v>1</v>
      </c>
      <c r="H75" s="38">
        <f>IF(入力画面!$F$24&lt;1628000,0,IF(入力画面!$F$24&lt;1800000,ROUNDDOWN(入力画面!$F$24/4000,0)*1000*4*0.6+100000))</f>
        <v>0</v>
      </c>
      <c r="I75" s="19"/>
      <c r="J75" s="31" t="s">
        <v>55</v>
      </c>
      <c r="K75" s="32">
        <f>入力画面!H24-K74</f>
        <v>-1100000</v>
      </c>
    </row>
    <row r="76" spans="6:11" x14ac:dyDescent="0.2">
      <c r="G76" s="35"/>
      <c r="H76" s="36">
        <f>IF(入力画面!$F$24&lt;1800000,0,IF(入力画面!$F$24&lt;3600000,ROUNDDOWN(入力画面!$F$24/4000,0)*1000*4*0.7-80000))</f>
        <v>0</v>
      </c>
      <c r="I76" s="19"/>
    </row>
    <row r="77" spans="6:11" x14ac:dyDescent="0.2">
      <c r="G77" s="35"/>
      <c r="H77" s="36">
        <f>IF(入力画面!$F$24&lt;3600000,0,IF(入力画面!$F$24&lt;6600000,ROUNDDOWN(入力画面!$F$24/4000,0)*1000*4*0.8-440000))</f>
        <v>0</v>
      </c>
      <c r="I77" s="19"/>
    </row>
    <row r="78" spans="6:11" x14ac:dyDescent="0.2">
      <c r="G78" s="35"/>
      <c r="H78" s="36">
        <f>IF(入力画面!$F$24&lt;6600000,0,IF(入力画面!$F$24&lt;8500000,ROUNDDOWN(入力画面!$F$24*0.9-1100000,0)))</f>
        <v>0</v>
      </c>
      <c r="I78" s="19"/>
    </row>
    <row r="79" spans="6:11" ht="13.8" thickBot="1" x14ac:dyDescent="0.25">
      <c r="G79" s="34"/>
      <c r="H79" s="37" t="b">
        <f>IF(入力画面!$F$24&gt;8499999,入力画面!$F$24-1950000)</f>
        <v>0</v>
      </c>
      <c r="I79" s="19"/>
    </row>
    <row r="81" spans="6:11" ht="13.8" thickBot="1" x14ac:dyDescent="0.25"/>
    <row r="82" spans="6:11" x14ac:dyDescent="0.2">
      <c r="F82">
        <v>9</v>
      </c>
      <c r="G82" s="33" t="str">
        <f>$G$2</f>
        <v>1900000以下</v>
      </c>
      <c r="H82" s="87" t="str">
        <f>IF(入力画面!$F$26&lt;=650000,"0",IF(入力画面!$F$26&lt;=1900000,入力画面!$F$26-650000))</f>
        <v>0</v>
      </c>
      <c r="I82" s="19"/>
      <c r="J82" s="26" t="s">
        <v>35</v>
      </c>
      <c r="K82" s="27">
        <f>IF(入力画面!$H$26&lt;1300000,600000,IF(入力画面!$H$26&lt;4100000,入力画面!$H$26*0.25+275000,IF(入力画面!$H$26&lt;7700000,入力画面!$H$26*0.15+685000,入力画面!$H$26*0.05+1455000)))</f>
        <v>600000</v>
      </c>
    </row>
    <row r="83" spans="6:11" ht="13.8" thickBot="1" x14ac:dyDescent="0.25">
      <c r="G83" s="34" t="str">
        <f>$G$3</f>
        <v>1900000以上</v>
      </c>
      <c r="H83" s="37">
        <f>IF(入力画面!$F$26&lt;=1900000,0,IF(入力画面!$F$26&lt;=3600000,$H$86,IF(入力画面!$F$26&lt;=6600000,$H$87,IF(入力画面!$F$26&lt;=8500000,$H$88,IF(入力画面!$F$26&gt;8500000,$H$89)))))</f>
        <v>0</v>
      </c>
      <c r="I83" s="19"/>
      <c r="J83" s="28" t="s">
        <v>53</v>
      </c>
      <c r="K83" s="29">
        <f>IF(入力画面!$H$26&lt;3300000,1100000,IF(入力画面!$H$26&lt;4100000,入力画面!$H$26*0.25+275000,IF(入力画面!$H$26&lt;7700000,入力画面!$H$26*0.15+685000,入力画面!$H$26*0.05+1455000)))</f>
        <v>1100000</v>
      </c>
    </row>
    <row r="84" spans="6:11" ht="13.8" thickBot="1" x14ac:dyDescent="0.25">
      <c r="J84" s="28" t="s">
        <v>54</v>
      </c>
      <c r="K84" s="29">
        <f>IF(入力画面!$C$26="40～64歳",$K82,$K83)</f>
        <v>1100000</v>
      </c>
    </row>
    <row r="85" spans="6:11" ht="13.8" thickBot="1" x14ac:dyDescent="0.25">
      <c r="G85" s="33" t="s">
        <v>1</v>
      </c>
      <c r="H85" s="38">
        <f>IF(入力画面!$F$26&lt;1628000,0,IF(入力画面!$F$26&lt;1800000,ROUNDDOWN(入力画面!$F$26/4000,0)*1000*4*0.6+100000))</f>
        <v>0</v>
      </c>
      <c r="I85" s="19"/>
      <c r="J85" s="31" t="s">
        <v>55</v>
      </c>
      <c r="K85" s="32">
        <f>入力画面!H26-K84</f>
        <v>-1100000</v>
      </c>
    </row>
    <row r="86" spans="6:11" x14ac:dyDescent="0.2">
      <c r="G86" s="35"/>
      <c r="H86" s="36">
        <f>IF(入力画面!$F$26&lt;1800000,0,IF(入力画面!$F$26&lt;3600000,ROUNDDOWN(入力画面!$F$26/4000,0)*1000*4*0.7-80000))</f>
        <v>0</v>
      </c>
      <c r="I86" s="19"/>
    </row>
    <row r="87" spans="6:11" x14ac:dyDescent="0.2">
      <c r="G87" s="35"/>
      <c r="H87" s="36">
        <f>IF(入力画面!$F$26&lt;3600000,0,IF(入力画面!$F$26&lt;6600000,ROUNDDOWN(入力画面!$F$26/4000,0)*1000*4*0.8-440000))</f>
        <v>0</v>
      </c>
      <c r="I87" s="19"/>
    </row>
    <row r="88" spans="6:11" x14ac:dyDescent="0.2">
      <c r="G88" s="35"/>
      <c r="H88" s="36">
        <f>IF(入力画面!$F$26&lt;6600000,0,IF(入力画面!$F$26&lt;8500000,ROUNDDOWN(入力画面!$F$26*0.9-1100000,0)))</f>
        <v>0</v>
      </c>
      <c r="I88" s="19"/>
    </row>
    <row r="89" spans="6:11" ht="13.8" thickBot="1" x14ac:dyDescent="0.25">
      <c r="G89" s="34"/>
      <c r="H89" s="37" t="b">
        <f>IF(入力画面!$F$26&gt;8499999,入力画面!$F$26-1950000)</f>
        <v>0</v>
      </c>
      <c r="I89" s="19"/>
    </row>
  </sheetData>
  <mergeCells count="2">
    <mergeCell ref="N17:O17"/>
    <mergeCell ref="N21:O21"/>
  </mergeCells>
  <phoneticPr fontId="2"/>
  <pageMargins left="0.75" right="0.75" top="1" bottom="1" header="0.51200000000000001" footer="0.51200000000000001"/>
  <pageSetup paperSize="9" scale="61"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4"/>
    <pageSetUpPr fitToPage="1"/>
  </sheetPr>
  <dimension ref="A1:BA53"/>
  <sheetViews>
    <sheetView zoomScaleNormal="100" workbookViewId="0">
      <selection activeCell="AS32" sqref="AS32"/>
    </sheetView>
  </sheetViews>
  <sheetFormatPr defaultColWidth="3.109375" defaultRowHeight="19.95" customHeight="1" x14ac:dyDescent="0.2"/>
  <sheetData>
    <row r="1" spans="1:46" ht="19.95" customHeight="1" x14ac:dyDescent="0.2">
      <c r="A1" s="219"/>
      <c r="B1" s="219"/>
      <c r="C1" s="219"/>
      <c r="D1" s="219"/>
      <c r="E1" s="219"/>
      <c r="F1" s="203"/>
      <c r="G1" s="19"/>
    </row>
    <row r="3" spans="1:46" ht="19.95" customHeight="1" x14ac:dyDescent="0.2">
      <c r="A3" s="75" t="s">
        <v>133</v>
      </c>
      <c r="B3" s="56"/>
      <c r="C3" s="414">
        <v>8</v>
      </c>
      <c r="D3" s="414"/>
      <c r="E3" s="75" t="s">
        <v>82</v>
      </c>
      <c r="F3" s="75"/>
      <c r="G3" s="75"/>
      <c r="H3" s="56"/>
      <c r="I3" s="56"/>
      <c r="J3" s="56"/>
      <c r="K3" s="56"/>
      <c r="L3" s="56"/>
      <c r="M3" s="56"/>
      <c r="N3" s="56"/>
      <c r="O3" s="56"/>
      <c r="V3" s="66"/>
    </row>
    <row r="4" spans="1:46" ht="19.95" customHeight="1" x14ac:dyDescent="0.2">
      <c r="A4" s="76" t="s">
        <v>84</v>
      </c>
      <c r="B4" s="56"/>
      <c r="C4" s="56"/>
      <c r="D4" s="56"/>
      <c r="E4" s="56"/>
      <c r="F4" s="56"/>
      <c r="G4" s="56"/>
      <c r="H4" s="56"/>
      <c r="I4" s="56"/>
      <c r="J4" s="56"/>
      <c r="K4" s="56"/>
      <c r="L4" s="56"/>
      <c r="M4" s="56"/>
      <c r="N4" s="56"/>
      <c r="O4" s="56"/>
      <c r="V4" s="66"/>
    </row>
    <row r="5" spans="1:46" ht="19.95" customHeight="1" x14ac:dyDescent="0.2">
      <c r="D5" t="e">
        <f>IF(#REF!="該当","※　非自発的失業者は所得が30/100で計算されています。","")</f>
        <v>#REF!</v>
      </c>
      <c r="V5" s="415"/>
      <c r="W5" s="415"/>
      <c r="X5" s="415"/>
      <c r="Y5" s="415"/>
      <c r="Z5" s="415"/>
      <c r="AA5" s="415"/>
      <c r="AB5" s="415"/>
      <c r="AC5" s="415"/>
      <c r="AD5" s="415"/>
      <c r="AE5" s="415"/>
      <c r="AF5" s="415"/>
      <c r="AG5" s="415"/>
      <c r="AH5" s="415"/>
      <c r="AI5" s="415"/>
      <c r="AJ5" s="415"/>
      <c r="AK5" s="415"/>
      <c r="AL5" s="415"/>
      <c r="AM5" s="416">
        <f ca="1">TODAY()</f>
        <v>46140</v>
      </c>
      <c r="AN5" s="416"/>
      <c r="AO5" s="416"/>
      <c r="AP5" s="416"/>
      <c r="AQ5" s="416"/>
    </row>
    <row r="6" spans="1:46" ht="19.95" customHeight="1" thickBot="1" x14ac:dyDescent="0.25"/>
    <row r="7" spans="1:46" ht="19.95" customHeight="1" x14ac:dyDescent="0.2">
      <c r="A7" s="417" t="s">
        <v>118</v>
      </c>
      <c r="B7" s="418"/>
      <c r="C7" s="418"/>
      <c r="D7" s="418"/>
      <c r="E7" s="418" t="s">
        <v>85</v>
      </c>
      <c r="F7" s="418"/>
      <c r="G7" s="418"/>
      <c r="H7" s="403" t="s">
        <v>86</v>
      </c>
      <c r="I7" s="403"/>
      <c r="J7" s="403"/>
      <c r="K7" s="403"/>
      <c r="L7" s="403"/>
      <c r="M7" s="403"/>
      <c r="N7" s="403"/>
      <c r="O7" s="403"/>
      <c r="P7" s="403" t="s">
        <v>87</v>
      </c>
      <c r="Q7" s="403"/>
      <c r="R7" s="403"/>
      <c r="S7" s="403"/>
      <c r="T7" s="403"/>
      <c r="U7" s="403"/>
      <c r="V7" s="403"/>
      <c r="W7" s="403"/>
      <c r="X7" s="403" t="s">
        <v>88</v>
      </c>
      <c r="Y7" s="403"/>
      <c r="Z7" s="403"/>
      <c r="AA7" s="403"/>
      <c r="AB7" s="403"/>
      <c r="AC7" s="403"/>
      <c r="AD7" s="403"/>
      <c r="AE7" s="403"/>
      <c r="AF7" s="418" t="s">
        <v>147</v>
      </c>
      <c r="AG7" s="403"/>
      <c r="AH7" s="403"/>
      <c r="AI7" s="403"/>
      <c r="AJ7" s="403" t="s">
        <v>76</v>
      </c>
      <c r="AK7" s="403"/>
      <c r="AL7" s="403"/>
      <c r="AM7" s="403"/>
      <c r="AN7" s="418" t="s">
        <v>148</v>
      </c>
      <c r="AO7" s="418"/>
      <c r="AP7" s="418"/>
      <c r="AQ7" s="422"/>
      <c r="AR7" s="219"/>
      <c r="AS7" s="219"/>
      <c r="AT7" s="219"/>
    </row>
    <row r="8" spans="1:46" ht="19.95" customHeight="1" x14ac:dyDescent="0.2">
      <c r="A8" s="419"/>
      <c r="B8" s="420"/>
      <c r="C8" s="420"/>
      <c r="D8" s="420"/>
      <c r="E8" s="420"/>
      <c r="F8" s="420"/>
      <c r="G8" s="420"/>
      <c r="H8" s="421" t="s">
        <v>44</v>
      </c>
      <c r="I8" s="421"/>
      <c r="J8" s="421"/>
      <c r="K8" s="421"/>
      <c r="L8" s="421" t="s">
        <v>45</v>
      </c>
      <c r="M8" s="421"/>
      <c r="N8" s="421"/>
      <c r="O8" s="421"/>
      <c r="P8" s="421" t="s">
        <v>44</v>
      </c>
      <c r="Q8" s="421"/>
      <c r="R8" s="421"/>
      <c r="S8" s="421"/>
      <c r="T8" s="421" t="s">
        <v>45</v>
      </c>
      <c r="U8" s="421"/>
      <c r="V8" s="421"/>
      <c r="W8" s="421"/>
      <c r="X8" s="421" t="s">
        <v>43</v>
      </c>
      <c r="Y8" s="421"/>
      <c r="Z8" s="421"/>
      <c r="AA8" s="421"/>
      <c r="AB8" s="421" t="s">
        <v>45</v>
      </c>
      <c r="AC8" s="421"/>
      <c r="AD8" s="421"/>
      <c r="AE8" s="421"/>
      <c r="AF8" s="421"/>
      <c r="AG8" s="421"/>
      <c r="AH8" s="421"/>
      <c r="AI8" s="421"/>
      <c r="AJ8" s="421" t="s">
        <v>34</v>
      </c>
      <c r="AK8" s="421"/>
      <c r="AL8" s="421"/>
      <c r="AM8" s="421"/>
      <c r="AN8" s="420"/>
      <c r="AO8" s="420"/>
      <c r="AP8" s="420"/>
      <c r="AQ8" s="423"/>
      <c r="AR8" s="219"/>
      <c r="AS8" s="219"/>
      <c r="AT8" s="219"/>
    </row>
    <row r="9" spans="1:46" ht="19.95" customHeight="1" x14ac:dyDescent="0.2">
      <c r="A9" s="412" t="str">
        <f>IF(入力画面!B10="","",入力画面!B10)</f>
        <v>世帯主</v>
      </c>
      <c r="B9" s="413"/>
      <c r="C9" s="413"/>
      <c r="D9" s="413"/>
      <c r="E9" s="413" t="str">
        <f>IF(A9="","",入力画面!C10)</f>
        <v/>
      </c>
      <c r="F9" s="413"/>
      <c r="G9" s="413"/>
      <c r="H9" s="410">
        <f>IF(入力画面!F10="","",入力画面!F10)</f>
        <v>0</v>
      </c>
      <c r="I9" s="410"/>
      <c r="J9" s="410"/>
      <c r="K9" s="410"/>
      <c r="L9" s="409" t="str">
        <f>IF(入力画面!A10="失業",入力画面!G11,IF(入力画面!F10="","",入力画面!G10))</f>
        <v>0</v>
      </c>
      <c r="M9" s="409"/>
      <c r="N9" s="409"/>
      <c r="O9" s="409"/>
      <c r="P9" s="410">
        <f>IF(入力画面!H10="","",入力画面!H10)</f>
        <v>0</v>
      </c>
      <c r="Q9" s="410"/>
      <c r="R9" s="410"/>
      <c r="S9" s="410"/>
      <c r="T9" s="409">
        <f>IF(P9="","",入力画面!I10)</f>
        <v>0</v>
      </c>
      <c r="U9" s="409"/>
      <c r="V9" s="409"/>
      <c r="W9" s="409"/>
      <c r="X9" s="407" t="str">
        <f>IF(入力画面!J10="","",入力画面!J10&amp;入力画面!L10)</f>
        <v/>
      </c>
      <c r="Y9" s="407"/>
      <c r="Z9" s="407"/>
      <c r="AA9" s="407"/>
      <c r="AB9" s="408" t="str">
        <f>IF(X9="","",入力画面!K10+入力画面!M10)</f>
        <v/>
      </c>
      <c r="AC9" s="408"/>
      <c r="AD9" s="408"/>
      <c r="AE9" s="408"/>
      <c r="AF9" s="410">
        <f>IF(入力画面!N10="","",入力画面!N10)</f>
        <v>0</v>
      </c>
      <c r="AG9" s="410"/>
      <c r="AH9" s="410"/>
      <c r="AI9" s="410"/>
      <c r="AJ9" s="410">
        <f>入力画面!P10</f>
        <v>0</v>
      </c>
      <c r="AK9" s="410"/>
      <c r="AL9" s="410"/>
      <c r="AM9" s="410"/>
      <c r="AN9" s="410">
        <f>入力画面!R10</f>
        <v>0</v>
      </c>
      <c r="AO9" s="410"/>
      <c r="AP9" s="410"/>
      <c r="AQ9" s="411"/>
      <c r="AR9" s="219"/>
      <c r="AS9" s="219"/>
      <c r="AT9" s="219"/>
    </row>
    <row r="10" spans="1:46" ht="19.95" customHeight="1" x14ac:dyDescent="0.2">
      <c r="A10" s="412" t="str">
        <f>IF(入力画面!B12="","",入力画面!B12)</f>
        <v/>
      </c>
      <c r="B10" s="413"/>
      <c r="C10" s="413"/>
      <c r="D10" s="413"/>
      <c r="E10" s="413" t="str">
        <f>IF(A10="","",入力画面!C12)</f>
        <v/>
      </c>
      <c r="F10" s="413"/>
      <c r="G10" s="413"/>
      <c r="H10" s="410">
        <f>IF(入力画面!F12="","",入力画面!F12)</f>
        <v>0</v>
      </c>
      <c r="I10" s="410"/>
      <c r="J10" s="410"/>
      <c r="K10" s="410"/>
      <c r="L10" s="409" t="str">
        <f>IF(入力画面!A12="失業",入力画面!G13,IF(入力画面!F12="","",入力画面!G12))</f>
        <v>0</v>
      </c>
      <c r="M10" s="409"/>
      <c r="N10" s="409"/>
      <c r="O10" s="409"/>
      <c r="P10" s="410">
        <f>IF(入力画面!H12="","",入力画面!H12)</f>
        <v>0</v>
      </c>
      <c r="Q10" s="410"/>
      <c r="R10" s="410"/>
      <c r="S10" s="410"/>
      <c r="T10" s="409">
        <f>IF(P10="","",入力画面!I12)</f>
        <v>0</v>
      </c>
      <c r="U10" s="409"/>
      <c r="V10" s="409"/>
      <c r="W10" s="409"/>
      <c r="X10" s="407" t="str">
        <f>IF(入力画面!J12="","",入力画面!J12&amp;入力画面!L12)</f>
        <v/>
      </c>
      <c r="Y10" s="407"/>
      <c r="Z10" s="407"/>
      <c r="AA10" s="407"/>
      <c r="AB10" s="408" t="str">
        <f>IF(X10="","",入力画面!K12+入力画面!M12)</f>
        <v/>
      </c>
      <c r="AC10" s="408"/>
      <c r="AD10" s="408"/>
      <c r="AE10" s="408"/>
      <c r="AF10" s="409">
        <f>IF(入力画面!N12="","",入力画面!N12)</f>
        <v>0</v>
      </c>
      <c r="AG10" s="409"/>
      <c r="AH10" s="409"/>
      <c r="AI10" s="409"/>
      <c r="AJ10" s="410">
        <f>入力画面!P12</f>
        <v>0</v>
      </c>
      <c r="AK10" s="410"/>
      <c r="AL10" s="410"/>
      <c r="AM10" s="410"/>
      <c r="AN10" s="410">
        <f>入力画面!R12</f>
        <v>0</v>
      </c>
      <c r="AO10" s="410"/>
      <c r="AP10" s="410"/>
      <c r="AQ10" s="411"/>
      <c r="AR10" s="219"/>
      <c r="AS10" s="219"/>
      <c r="AT10" s="219"/>
    </row>
    <row r="11" spans="1:46" ht="19.95" customHeight="1" x14ac:dyDescent="0.2">
      <c r="A11" s="412" t="str">
        <f>IF(入力画面!B14="","",入力画面!B14)</f>
        <v/>
      </c>
      <c r="B11" s="413"/>
      <c r="C11" s="413"/>
      <c r="D11" s="413"/>
      <c r="E11" s="413" t="str">
        <f>IF(A11="","",入力画面!C14)</f>
        <v/>
      </c>
      <c r="F11" s="413"/>
      <c r="G11" s="413"/>
      <c r="H11" s="410">
        <f>IF(入力画面!F14="","",入力画面!F14)</f>
        <v>0</v>
      </c>
      <c r="I11" s="410"/>
      <c r="J11" s="410"/>
      <c r="K11" s="410"/>
      <c r="L11" s="409" t="str">
        <f>IF(入力画面!A14="失業",入力画面!G15,IF(入力画面!F14="","",入力画面!G14))</f>
        <v>0</v>
      </c>
      <c r="M11" s="409"/>
      <c r="N11" s="409"/>
      <c r="O11" s="409"/>
      <c r="P11" s="410">
        <f>IF(入力画面!H14="","",入力画面!H14)</f>
        <v>0</v>
      </c>
      <c r="Q11" s="410"/>
      <c r="R11" s="410"/>
      <c r="S11" s="410"/>
      <c r="T11" s="409">
        <f>IF(P11="","",入力画面!I14)</f>
        <v>0</v>
      </c>
      <c r="U11" s="409"/>
      <c r="V11" s="409"/>
      <c r="W11" s="409"/>
      <c r="X11" s="407" t="str">
        <f>IF(入力画面!J14="","",入力画面!J14&amp;入力画面!L14)</f>
        <v/>
      </c>
      <c r="Y11" s="407"/>
      <c r="Z11" s="407"/>
      <c r="AA11" s="407"/>
      <c r="AB11" s="408" t="str">
        <f>IF(X11="","",入力画面!K14+入力画面!M14)</f>
        <v/>
      </c>
      <c r="AC11" s="408"/>
      <c r="AD11" s="408"/>
      <c r="AE11" s="408"/>
      <c r="AF11" s="409">
        <f>IF(入力画面!N14="","",入力画面!N14)</f>
        <v>0</v>
      </c>
      <c r="AG11" s="409"/>
      <c r="AH11" s="409"/>
      <c r="AI11" s="409"/>
      <c r="AJ11" s="410">
        <f>入力画面!P14</f>
        <v>0</v>
      </c>
      <c r="AK11" s="410"/>
      <c r="AL11" s="410"/>
      <c r="AM11" s="410"/>
      <c r="AN11" s="410">
        <f>入力画面!R14</f>
        <v>0</v>
      </c>
      <c r="AO11" s="410"/>
      <c r="AP11" s="410"/>
      <c r="AQ11" s="411"/>
      <c r="AR11" s="219"/>
      <c r="AS11" s="219"/>
      <c r="AT11" s="219"/>
    </row>
    <row r="12" spans="1:46" ht="19.95" customHeight="1" x14ac:dyDescent="0.2">
      <c r="A12" s="412" t="str">
        <f>IF(入力画面!B16="","",入力画面!B16)</f>
        <v/>
      </c>
      <c r="B12" s="413"/>
      <c r="C12" s="413"/>
      <c r="D12" s="413"/>
      <c r="E12" s="413" t="str">
        <f>IF(A12="","",入力画面!C16)</f>
        <v/>
      </c>
      <c r="F12" s="413"/>
      <c r="G12" s="413"/>
      <c r="H12" s="410">
        <f>IF(入力画面!F16="","",入力画面!F16)</f>
        <v>0</v>
      </c>
      <c r="I12" s="410"/>
      <c r="J12" s="410"/>
      <c r="K12" s="410"/>
      <c r="L12" s="409" t="str">
        <f>IF(入力画面!A16="失業",入力画面!G17,IF(入力画面!F16="","",入力画面!G16))</f>
        <v>0</v>
      </c>
      <c r="M12" s="409"/>
      <c r="N12" s="409"/>
      <c r="O12" s="409"/>
      <c r="P12" s="410">
        <f>IF(入力画面!H16="","",入力画面!H16)</f>
        <v>0</v>
      </c>
      <c r="Q12" s="410"/>
      <c r="R12" s="410"/>
      <c r="S12" s="410"/>
      <c r="T12" s="409">
        <f>IF(P12="","",入力画面!I16)</f>
        <v>0</v>
      </c>
      <c r="U12" s="409"/>
      <c r="V12" s="409"/>
      <c r="W12" s="409"/>
      <c r="X12" s="407" t="str">
        <f>IF(入力画面!J16="","",入力画面!J16&amp;入力画面!L16)</f>
        <v/>
      </c>
      <c r="Y12" s="407"/>
      <c r="Z12" s="407"/>
      <c r="AA12" s="407"/>
      <c r="AB12" s="408" t="str">
        <f>IF(X12="","",入力画面!K16+入力画面!M16)</f>
        <v/>
      </c>
      <c r="AC12" s="408"/>
      <c r="AD12" s="408"/>
      <c r="AE12" s="408"/>
      <c r="AF12" s="409">
        <f>IF(入力画面!N16="","",入力画面!N16)</f>
        <v>0</v>
      </c>
      <c r="AG12" s="409"/>
      <c r="AH12" s="409"/>
      <c r="AI12" s="409"/>
      <c r="AJ12" s="410">
        <f>入力画面!P16</f>
        <v>0</v>
      </c>
      <c r="AK12" s="410"/>
      <c r="AL12" s="410"/>
      <c r="AM12" s="410"/>
      <c r="AN12" s="410">
        <f>入力画面!R16</f>
        <v>0</v>
      </c>
      <c r="AO12" s="410"/>
      <c r="AP12" s="410"/>
      <c r="AQ12" s="411"/>
      <c r="AR12" s="219"/>
      <c r="AS12" s="219"/>
      <c r="AT12" s="219"/>
    </row>
    <row r="13" spans="1:46" ht="19.95" customHeight="1" thickBot="1" x14ac:dyDescent="0.25">
      <c r="A13" s="428" t="str">
        <f>IF(入力画面!B18="","",入力画面!B18)</f>
        <v/>
      </c>
      <c r="B13" s="429"/>
      <c r="C13" s="429"/>
      <c r="D13" s="429"/>
      <c r="E13" s="429" t="str">
        <f>IF(A13="","",入力画面!C18)</f>
        <v/>
      </c>
      <c r="F13" s="429"/>
      <c r="G13" s="429"/>
      <c r="H13" s="426">
        <f>IF(入力画面!F18="","",入力画面!F18)</f>
        <v>0</v>
      </c>
      <c r="I13" s="426"/>
      <c r="J13" s="426"/>
      <c r="K13" s="426"/>
      <c r="L13" s="430" t="str">
        <f>IF(入力画面!A18="失業",入力画面!G19,IF(入力画面!F18="","",入力画面!G18))</f>
        <v>0</v>
      </c>
      <c r="M13" s="430"/>
      <c r="N13" s="430"/>
      <c r="O13" s="430"/>
      <c r="P13" s="426">
        <f>IF(入力画面!H18="","",入力画面!H18)</f>
        <v>0</v>
      </c>
      <c r="Q13" s="426"/>
      <c r="R13" s="426"/>
      <c r="S13" s="426"/>
      <c r="T13" s="430">
        <f>IF(P13="","",入力画面!I18)</f>
        <v>0</v>
      </c>
      <c r="U13" s="430"/>
      <c r="V13" s="430"/>
      <c r="W13" s="430"/>
      <c r="X13" s="431" t="str">
        <f>IF(入力画面!J18="","",入力画面!J18&amp;入力画面!L18)</f>
        <v/>
      </c>
      <c r="Y13" s="431"/>
      <c r="Z13" s="431"/>
      <c r="AA13" s="431"/>
      <c r="AB13" s="432" t="str">
        <f>IF(X13="","",入力画面!K18+入力画面!M18)</f>
        <v/>
      </c>
      <c r="AC13" s="432"/>
      <c r="AD13" s="432"/>
      <c r="AE13" s="432"/>
      <c r="AF13" s="430">
        <f>IF(入力画面!N18="","",入力画面!N18)</f>
        <v>0</v>
      </c>
      <c r="AG13" s="430"/>
      <c r="AH13" s="430"/>
      <c r="AI13" s="430"/>
      <c r="AJ13" s="426">
        <f>入力画面!P18</f>
        <v>0</v>
      </c>
      <c r="AK13" s="426"/>
      <c r="AL13" s="426"/>
      <c r="AM13" s="426"/>
      <c r="AN13" s="426">
        <f>入力画面!R18</f>
        <v>0</v>
      </c>
      <c r="AO13" s="426"/>
      <c r="AP13" s="426"/>
      <c r="AQ13" s="427"/>
      <c r="AR13" s="219"/>
      <c r="AS13" s="219"/>
      <c r="AT13" s="219"/>
    </row>
    <row r="14" spans="1:46" ht="19.95" hidden="1" customHeight="1" x14ac:dyDescent="0.2">
      <c r="A14" s="433" t="str">
        <f>IF(入力画面!B20="","",入力画面!B20)</f>
        <v/>
      </c>
      <c r="B14" s="434"/>
      <c r="C14" s="434"/>
      <c r="D14" s="434"/>
      <c r="E14" s="434" t="str">
        <f>IF(A14="","",入力画面!C20)</f>
        <v/>
      </c>
      <c r="F14" s="434"/>
      <c r="G14" s="434"/>
      <c r="H14" s="424">
        <f>IF(入力画面!F20="","",入力画面!F20)</f>
        <v>0</v>
      </c>
      <c r="I14" s="424"/>
      <c r="J14" s="424"/>
      <c r="K14" s="424"/>
      <c r="L14" s="435" t="str">
        <f>IF(入力画面!A20="失業",入力画面!G21,IF(入力画面!F20="","",入力画面!G20))</f>
        <v>0</v>
      </c>
      <c r="M14" s="435"/>
      <c r="N14" s="435"/>
      <c r="O14" s="435"/>
      <c r="P14" s="424">
        <f>IF(入力画面!H20="","",入力画面!H20)</f>
        <v>0</v>
      </c>
      <c r="Q14" s="424"/>
      <c r="R14" s="424"/>
      <c r="S14" s="424"/>
      <c r="T14" s="435">
        <f>IF(P14="","",入力画面!I20)</f>
        <v>0</v>
      </c>
      <c r="U14" s="435"/>
      <c r="V14" s="435"/>
      <c r="W14" s="435"/>
      <c r="X14" s="436" t="str">
        <f>IF(入力画面!J20="","",入力画面!J20&amp;入力画面!L20)</f>
        <v/>
      </c>
      <c r="Y14" s="436"/>
      <c r="Z14" s="436"/>
      <c r="AA14" s="436"/>
      <c r="AB14" s="437" t="str">
        <f>IF(X14="","",入力画面!K20+入力画面!M20)</f>
        <v/>
      </c>
      <c r="AC14" s="437"/>
      <c r="AD14" s="437"/>
      <c r="AE14" s="437"/>
      <c r="AF14" s="435">
        <f>IF(入力画面!N20="","",入力画面!N20)</f>
        <v>0</v>
      </c>
      <c r="AG14" s="435"/>
      <c r="AH14" s="435"/>
      <c r="AI14" s="435"/>
      <c r="AJ14" s="424">
        <f>入力画面!P20</f>
        <v>0</v>
      </c>
      <c r="AK14" s="424"/>
      <c r="AL14" s="424"/>
      <c r="AM14" s="424"/>
      <c r="AN14" s="424">
        <f>入力画面!R20</f>
        <v>0</v>
      </c>
      <c r="AO14" s="424"/>
      <c r="AP14" s="424"/>
      <c r="AQ14" s="425"/>
      <c r="AR14" s="219"/>
      <c r="AS14" s="219"/>
      <c r="AT14" s="219"/>
    </row>
    <row r="15" spans="1:46" ht="19.95" hidden="1" customHeight="1" x14ac:dyDescent="0.2">
      <c r="A15" s="412" t="str">
        <f>IF(入力画面!B22="","",入力画面!B22)</f>
        <v/>
      </c>
      <c r="B15" s="413"/>
      <c r="C15" s="413"/>
      <c r="D15" s="413"/>
      <c r="E15" s="413" t="str">
        <f>IF(A15="","",入力画面!C22)</f>
        <v/>
      </c>
      <c r="F15" s="413"/>
      <c r="G15" s="413"/>
      <c r="H15" s="410">
        <f>IF(入力画面!F22="","",入力画面!F22)</f>
        <v>0</v>
      </c>
      <c r="I15" s="410"/>
      <c r="J15" s="410"/>
      <c r="K15" s="410"/>
      <c r="L15" s="409" t="str">
        <f>IF(入力画面!A22="失業",入力画面!G23,IF(入力画面!F22="","",入力画面!G22))</f>
        <v>0</v>
      </c>
      <c r="M15" s="409"/>
      <c r="N15" s="409"/>
      <c r="O15" s="409"/>
      <c r="P15" s="410">
        <f>IF(入力画面!H22="","",入力画面!H22)</f>
        <v>0</v>
      </c>
      <c r="Q15" s="410"/>
      <c r="R15" s="410"/>
      <c r="S15" s="410"/>
      <c r="T15" s="409">
        <f>IF(P15="","",入力画面!I22)</f>
        <v>0</v>
      </c>
      <c r="U15" s="409"/>
      <c r="V15" s="409"/>
      <c r="W15" s="409"/>
      <c r="X15" s="407" t="str">
        <f>IF(入力画面!J22="","",入力画面!J22&amp;入力画面!L22)</f>
        <v/>
      </c>
      <c r="Y15" s="407"/>
      <c r="Z15" s="407"/>
      <c r="AA15" s="407"/>
      <c r="AB15" s="408" t="str">
        <f>IF(X15="","",入力画面!K22+入力画面!M22)</f>
        <v/>
      </c>
      <c r="AC15" s="408"/>
      <c r="AD15" s="408"/>
      <c r="AE15" s="408"/>
      <c r="AF15" s="409">
        <f>IF(入力画面!N22="","",入力画面!N22)</f>
        <v>0</v>
      </c>
      <c r="AG15" s="409"/>
      <c r="AH15" s="409"/>
      <c r="AI15" s="409"/>
      <c r="AJ15" s="410">
        <f>入力画面!P22</f>
        <v>0</v>
      </c>
      <c r="AK15" s="410"/>
      <c r="AL15" s="410"/>
      <c r="AM15" s="410"/>
      <c r="AN15" s="410">
        <f>入力画面!R22</f>
        <v>0</v>
      </c>
      <c r="AO15" s="410"/>
      <c r="AP15" s="410"/>
      <c r="AQ15" s="411"/>
      <c r="AR15" s="219"/>
      <c r="AS15" s="219"/>
      <c r="AT15" s="219"/>
    </row>
    <row r="16" spans="1:46" ht="19.95" hidden="1" customHeight="1" x14ac:dyDescent="0.2">
      <c r="A16" s="412" t="str">
        <f>IF(入力画面!B24="","",入力画面!B24)</f>
        <v/>
      </c>
      <c r="B16" s="413"/>
      <c r="C16" s="413"/>
      <c r="D16" s="413"/>
      <c r="E16" s="413" t="str">
        <f>IF(A16="","",入力画面!C24)</f>
        <v/>
      </c>
      <c r="F16" s="413"/>
      <c r="G16" s="413"/>
      <c r="H16" s="410">
        <f>IF(入力画面!F24="","",入力画面!F24)</f>
        <v>0</v>
      </c>
      <c r="I16" s="410"/>
      <c r="J16" s="410"/>
      <c r="K16" s="410"/>
      <c r="L16" s="409" t="str">
        <f>IF(入力画面!A24="失業",入力画面!G25,IF(入力画面!F24="","",入力画面!G24))</f>
        <v>0</v>
      </c>
      <c r="M16" s="409"/>
      <c r="N16" s="409"/>
      <c r="O16" s="409"/>
      <c r="P16" s="410">
        <f>IF(入力画面!H24="","",入力画面!H24)</f>
        <v>0</v>
      </c>
      <c r="Q16" s="410"/>
      <c r="R16" s="410"/>
      <c r="S16" s="410"/>
      <c r="T16" s="409">
        <f>IF(P16="","",入力画面!I24)</f>
        <v>0</v>
      </c>
      <c r="U16" s="409"/>
      <c r="V16" s="409"/>
      <c r="W16" s="409"/>
      <c r="X16" s="407" t="str">
        <f>IF(入力画面!J24="","",入力画面!J24&amp;入力画面!L24)</f>
        <v/>
      </c>
      <c r="Y16" s="407"/>
      <c r="Z16" s="407"/>
      <c r="AA16" s="407"/>
      <c r="AB16" s="408" t="str">
        <f>IF(X16="","",入力画面!K24+入力画面!M24)</f>
        <v/>
      </c>
      <c r="AC16" s="408"/>
      <c r="AD16" s="408"/>
      <c r="AE16" s="408"/>
      <c r="AF16" s="409">
        <f>IF(入力画面!N24="","",入力画面!N24)</f>
        <v>0</v>
      </c>
      <c r="AG16" s="409"/>
      <c r="AH16" s="409"/>
      <c r="AI16" s="409"/>
      <c r="AJ16" s="410">
        <f>入力画面!P24</f>
        <v>0</v>
      </c>
      <c r="AK16" s="410"/>
      <c r="AL16" s="410"/>
      <c r="AM16" s="410"/>
      <c r="AN16" s="410">
        <f>入力画面!R24</f>
        <v>0</v>
      </c>
      <c r="AO16" s="410"/>
      <c r="AP16" s="410"/>
      <c r="AQ16" s="411"/>
      <c r="AR16" s="219"/>
      <c r="AS16" s="219"/>
      <c r="AT16" s="219"/>
    </row>
    <row r="17" spans="1:53" ht="19.95" hidden="1" customHeight="1" thickBot="1" x14ac:dyDescent="0.25">
      <c r="A17" s="412" t="str">
        <f>IF(入力画面!B26="","",入力画面!B26)</f>
        <v/>
      </c>
      <c r="B17" s="413"/>
      <c r="C17" s="413"/>
      <c r="D17" s="413"/>
      <c r="E17" s="413" t="str">
        <f>IF(A17="","",入力画面!C26)</f>
        <v/>
      </c>
      <c r="F17" s="413"/>
      <c r="G17" s="413"/>
      <c r="H17" s="410">
        <f>IF(入力画面!F26="","",入力画面!F26)</f>
        <v>0</v>
      </c>
      <c r="I17" s="410"/>
      <c r="J17" s="410"/>
      <c r="K17" s="410"/>
      <c r="L17" s="409" t="str">
        <f>IF(入力画面!A26="失業",入力画面!G27,IF(入力画面!F26="","",入力画面!G26))</f>
        <v>0</v>
      </c>
      <c r="M17" s="409"/>
      <c r="N17" s="409"/>
      <c r="O17" s="409"/>
      <c r="P17" s="410">
        <f>IF(入力画面!H26="","",入力画面!H26)</f>
        <v>0</v>
      </c>
      <c r="Q17" s="410"/>
      <c r="R17" s="410"/>
      <c r="S17" s="410"/>
      <c r="T17" s="409">
        <f>IF(P17="","",入力画面!I26)</f>
        <v>0</v>
      </c>
      <c r="U17" s="409"/>
      <c r="V17" s="409"/>
      <c r="W17" s="409"/>
      <c r="X17" s="407" t="str">
        <f>IF(入力画面!J26="","",入力画面!J26&amp;入力画面!L26)</f>
        <v/>
      </c>
      <c r="Y17" s="407"/>
      <c r="Z17" s="407"/>
      <c r="AA17" s="407"/>
      <c r="AB17" s="408" t="str">
        <f>IF(X17="","",入力画面!K26+入力画面!M26)</f>
        <v/>
      </c>
      <c r="AC17" s="408"/>
      <c r="AD17" s="408"/>
      <c r="AE17" s="408"/>
      <c r="AF17" s="409">
        <f>IF(入力画面!N26="","",入力画面!N26)</f>
        <v>0</v>
      </c>
      <c r="AG17" s="409"/>
      <c r="AH17" s="409"/>
      <c r="AI17" s="409"/>
      <c r="AJ17" s="410">
        <f>入力画面!P26</f>
        <v>0</v>
      </c>
      <c r="AK17" s="410"/>
      <c r="AL17" s="410"/>
      <c r="AM17" s="410"/>
      <c r="AN17" s="410">
        <f>入力画面!R26</f>
        <v>0</v>
      </c>
      <c r="AO17" s="410"/>
      <c r="AP17" s="410"/>
      <c r="AQ17" s="411"/>
      <c r="AR17" s="219"/>
      <c r="AS17" s="219"/>
      <c r="AT17" s="219"/>
    </row>
    <row r="18" spans="1:53" ht="19.95" customHeight="1" thickTop="1" thickBot="1" x14ac:dyDescent="0.25">
      <c r="A18" s="405"/>
      <c r="B18" s="406"/>
      <c r="C18" s="406"/>
      <c r="D18" s="406"/>
      <c r="E18" s="406"/>
      <c r="F18" s="406"/>
      <c r="G18" s="406"/>
      <c r="H18" s="398">
        <f>SUM(H9:K17)</f>
        <v>0</v>
      </c>
      <c r="I18" s="398"/>
      <c r="J18" s="398"/>
      <c r="K18" s="398"/>
      <c r="L18" s="398">
        <f>SUM(L9:O17)</f>
        <v>0</v>
      </c>
      <c r="M18" s="398"/>
      <c r="N18" s="398"/>
      <c r="O18" s="398"/>
      <c r="P18" s="398">
        <f>SUM(P9:S17)</f>
        <v>0</v>
      </c>
      <c r="Q18" s="398"/>
      <c r="R18" s="398"/>
      <c r="S18" s="398"/>
      <c r="T18" s="398">
        <f>SUM(T9:W17)</f>
        <v>0</v>
      </c>
      <c r="U18" s="398"/>
      <c r="V18" s="398"/>
      <c r="W18" s="398"/>
      <c r="X18" s="398">
        <f>SUM(X9:AA17)</f>
        <v>0</v>
      </c>
      <c r="Y18" s="398"/>
      <c r="Z18" s="398"/>
      <c r="AA18" s="398"/>
      <c r="AB18" s="398">
        <f>SUM(AB9:AE17)</f>
        <v>0</v>
      </c>
      <c r="AC18" s="398"/>
      <c r="AD18" s="398"/>
      <c r="AE18" s="398"/>
      <c r="AF18" s="398">
        <f>SUM(AF9:AI17)</f>
        <v>0</v>
      </c>
      <c r="AG18" s="398"/>
      <c r="AH18" s="398"/>
      <c r="AI18" s="398"/>
      <c r="AJ18" s="398">
        <f>SUM(AJ9:AM17)</f>
        <v>0</v>
      </c>
      <c r="AK18" s="398"/>
      <c r="AL18" s="398"/>
      <c r="AM18" s="398"/>
      <c r="AN18" s="398">
        <f>SUM(AN9:AQ17)</f>
        <v>0</v>
      </c>
      <c r="AO18" s="398"/>
      <c r="AP18" s="398"/>
      <c r="AQ18" s="399"/>
      <c r="AR18" s="219"/>
      <c r="AS18" s="219"/>
      <c r="AT18" s="219"/>
    </row>
    <row r="19" spans="1:53" ht="19.95" customHeight="1" thickBot="1" x14ac:dyDescent="0.25"/>
    <row r="20" spans="1:53" ht="19.95" customHeight="1" x14ac:dyDescent="0.2">
      <c r="A20" s="400" t="s">
        <v>90</v>
      </c>
      <c r="B20" s="401"/>
      <c r="C20" s="401"/>
      <c r="D20" s="401"/>
      <c r="E20" s="401"/>
      <c r="F20" s="401"/>
      <c r="G20" s="401"/>
      <c r="H20" s="401"/>
      <c r="I20" s="401"/>
      <c r="J20" s="401"/>
      <c r="K20" s="194">
        <f>入力画面!B28</f>
        <v>0</v>
      </c>
      <c r="L20" s="195" t="s">
        <v>91</v>
      </c>
      <c r="O20" s="40"/>
      <c r="P20" s="40"/>
      <c r="Q20" s="40"/>
      <c r="R20" s="40"/>
      <c r="S20" s="40"/>
      <c r="T20" s="40"/>
      <c r="U20" s="40"/>
      <c r="V20" s="40"/>
      <c r="W20" s="40"/>
      <c r="X20" s="40"/>
      <c r="Y20" s="40"/>
      <c r="AB20" s="402" t="s">
        <v>96</v>
      </c>
      <c r="AC20" s="403"/>
      <c r="AD20" s="403"/>
      <c r="AE20" s="403"/>
      <c r="AF20" s="403"/>
      <c r="AG20" s="403"/>
      <c r="AH20" s="403"/>
      <c r="AI20" s="403"/>
      <c r="AJ20" s="403"/>
      <c r="AK20" s="403"/>
      <c r="AL20" s="404"/>
    </row>
    <row r="21" spans="1:53" ht="19.95" customHeight="1" x14ac:dyDescent="0.2">
      <c r="A21" s="440" t="s">
        <v>95</v>
      </c>
      <c r="B21" s="441"/>
      <c r="C21" s="441"/>
      <c r="D21" s="441"/>
      <c r="E21" s="441"/>
      <c r="F21" s="441"/>
      <c r="G21" s="441"/>
      <c r="H21" s="441"/>
      <c r="I21" s="441"/>
      <c r="J21" s="442"/>
      <c r="K21" s="12">
        <f>入力画面!B28</f>
        <v>0</v>
      </c>
      <c r="L21" s="30" t="s">
        <v>91</v>
      </c>
      <c r="O21" s="96"/>
      <c r="P21" s="96"/>
      <c r="Q21" s="96"/>
      <c r="R21" s="96"/>
      <c r="S21" s="96"/>
      <c r="T21" s="96"/>
      <c r="U21" s="45"/>
      <c r="V21" s="46"/>
      <c r="W21" s="46"/>
      <c r="X21" s="46"/>
      <c r="Y21" s="98"/>
      <c r="AB21" s="392" t="s">
        <v>67</v>
      </c>
      <c r="AC21" s="393"/>
      <c r="AD21" s="393"/>
      <c r="AE21" s="393"/>
      <c r="AF21" s="393"/>
      <c r="AG21" s="393"/>
      <c r="AH21" s="394">
        <f>入力画面!R28</f>
        <v>0</v>
      </c>
      <c r="AI21" s="395"/>
      <c r="AJ21" s="395"/>
      <c r="AK21" s="395"/>
      <c r="AL21" s="30" t="s">
        <v>0</v>
      </c>
    </row>
    <row r="22" spans="1:53" ht="19.95" customHeight="1" x14ac:dyDescent="0.2">
      <c r="A22" s="392" t="s">
        <v>92</v>
      </c>
      <c r="B22" s="393"/>
      <c r="C22" s="393"/>
      <c r="D22" s="393"/>
      <c r="E22" s="393"/>
      <c r="F22" s="393"/>
      <c r="G22" s="393"/>
      <c r="H22" s="393"/>
      <c r="I22" s="393"/>
      <c r="J22" s="393"/>
      <c r="K22" s="12">
        <f>入力画面!B28</f>
        <v>0</v>
      </c>
      <c r="L22" s="30" t="s">
        <v>91</v>
      </c>
      <c r="O22" s="97"/>
      <c r="P22" s="97"/>
      <c r="Q22" s="97"/>
      <c r="R22" s="97"/>
      <c r="S22" s="97"/>
      <c r="T22" s="97"/>
      <c r="U22" s="45"/>
      <c r="V22" s="46"/>
      <c r="W22" s="46"/>
      <c r="X22" s="46"/>
      <c r="Y22" s="98"/>
      <c r="AB22" s="392" t="s">
        <v>68</v>
      </c>
      <c r="AC22" s="393"/>
      <c r="AD22" s="393"/>
      <c r="AE22" s="393"/>
      <c r="AF22" s="393"/>
      <c r="AG22" s="393"/>
      <c r="AH22" s="394">
        <f>入力画面!R28</f>
        <v>0</v>
      </c>
      <c r="AI22" s="395"/>
      <c r="AJ22" s="395"/>
      <c r="AK22" s="395"/>
      <c r="AL22" s="30" t="s">
        <v>0</v>
      </c>
    </row>
    <row r="23" spans="1:53" ht="19.95" customHeight="1" x14ac:dyDescent="0.2">
      <c r="A23" s="392" t="s">
        <v>93</v>
      </c>
      <c r="B23" s="393"/>
      <c r="C23" s="393"/>
      <c r="D23" s="393"/>
      <c r="E23" s="393"/>
      <c r="F23" s="393"/>
      <c r="G23" s="393"/>
      <c r="H23" s="393"/>
      <c r="I23" s="393"/>
      <c r="J23" s="393"/>
      <c r="K23" s="12">
        <f>入力画面!B30</f>
        <v>0</v>
      </c>
      <c r="L23" s="30" t="s">
        <v>91</v>
      </c>
      <c r="O23" s="97"/>
      <c r="P23" s="97"/>
      <c r="Q23" s="97"/>
      <c r="R23" s="97"/>
      <c r="S23" s="97"/>
      <c r="T23" s="97"/>
      <c r="U23" s="45"/>
      <c r="V23" s="46"/>
      <c r="W23" s="46"/>
      <c r="X23" s="46"/>
      <c r="Y23" s="98"/>
      <c r="AB23" s="392" t="s">
        <v>69</v>
      </c>
      <c r="AC23" s="393"/>
      <c r="AD23" s="393"/>
      <c r="AE23" s="393"/>
      <c r="AF23" s="393"/>
      <c r="AG23" s="393"/>
      <c r="AH23" s="394">
        <f>入力画面!Q29</f>
        <v>0</v>
      </c>
      <c r="AI23" s="394"/>
      <c r="AJ23" s="394"/>
      <c r="AK23" s="394"/>
      <c r="AL23" s="30" t="s">
        <v>0</v>
      </c>
    </row>
    <row r="24" spans="1:53" ht="19.95" customHeight="1" x14ac:dyDescent="0.2">
      <c r="A24" s="392" t="s">
        <v>176</v>
      </c>
      <c r="B24" s="393"/>
      <c r="C24" s="393"/>
      <c r="D24" s="393"/>
      <c r="E24" s="393"/>
      <c r="F24" s="393"/>
      <c r="G24" s="393"/>
      <c r="H24" s="393"/>
      <c r="I24" s="393"/>
      <c r="J24" s="393"/>
      <c r="K24" s="12">
        <f>入力画面!B28</f>
        <v>0</v>
      </c>
      <c r="L24" s="30" t="s">
        <v>91</v>
      </c>
      <c r="O24" s="97"/>
      <c r="P24" s="97"/>
      <c r="Q24" s="97"/>
      <c r="R24" s="97"/>
      <c r="S24" s="97"/>
      <c r="T24" s="97"/>
      <c r="U24" s="45"/>
      <c r="V24" s="46"/>
      <c r="W24" s="46"/>
      <c r="X24" s="46"/>
      <c r="Y24" s="98"/>
      <c r="AB24" s="438" t="s">
        <v>177</v>
      </c>
      <c r="AC24" s="439"/>
      <c r="AD24" s="439"/>
      <c r="AE24" s="439"/>
      <c r="AF24" s="439"/>
      <c r="AG24" s="439"/>
      <c r="AH24" s="394">
        <f>入力画面!R28</f>
        <v>0</v>
      </c>
      <c r="AI24" s="395"/>
      <c r="AJ24" s="395"/>
      <c r="AK24" s="395"/>
      <c r="AL24" s="30" t="s">
        <v>0</v>
      </c>
    </row>
    <row r="25" spans="1:53" ht="19.95" customHeight="1" thickBot="1" x14ac:dyDescent="0.25">
      <c r="A25" s="396" t="s">
        <v>136</v>
      </c>
      <c r="B25" s="397"/>
      <c r="C25" s="397"/>
      <c r="D25" s="397"/>
      <c r="E25" s="397"/>
      <c r="F25" s="397"/>
      <c r="G25" s="397"/>
      <c r="H25" s="397"/>
      <c r="I25" s="397"/>
      <c r="J25" s="397"/>
      <c r="K25" s="196">
        <f>入力画面!D28</f>
        <v>0</v>
      </c>
      <c r="L25" s="197" t="s">
        <v>91</v>
      </c>
      <c r="AB25" s="443" t="s">
        <v>180</v>
      </c>
      <c r="AC25" s="444"/>
      <c r="AD25" s="444"/>
      <c r="AE25" s="444"/>
      <c r="AF25" s="444"/>
      <c r="AG25" s="444"/>
      <c r="AH25" s="445">
        <f>入力画面!R28</f>
        <v>0</v>
      </c>
      <c r="AI25" s="446"/>
      <c r="AJ25" s="446"/>
      <c r="AK25" s="446"/>
      <c r="AL25" s="197" t="s">
        <v>0</v>
      </c>
    </row>
    <row r="26" spans="1:53" ht="19.95" customHeight="1" thickBot="1" x14ac:dyDescent="0.25"/>
    <row r="27" spans="1:53" ht="19.95" customHeight="1" x14ac:dyDescent="0.2">
      <c r="A27" s="340" t="s">
        <v>134</v>
      </c>
      <c r="B27" s="341"/>
      <c r="C27" s="354" t="s">
        <v>102</v>
      </c>
      <c r="D27" s="355"/>
      <c r="E27" s="355"/>
      <c r="F27" s="356"/>
      <c r="G27" s="354" t="s">
        <v>97</v>
      </c>
      <c r="H27" s="355"/>
      <c r="I27" s="355"/>
      <c r="J27" s="356"/>
      <c r="K27" s="354" t="s">
        <v>99</v>
      </c>
      <c r="L27" s="355"/>
      <c r="M27" s="355"/>
      <c r="N27" s="355"/>
      <c r="O27" s="355"/>
      <c r="P27" s="356"/>
      <c r="Q27" s="354" t="s">
        <v>100</v>
      </c>
      <c r="R27" s="355"/>
      <c r="S27" s="355"/>
      <c r="T27" s="355"/>
      <c r="U27" s="356"/>
      <c r="V27" s="354" t="s">
        <v>74</v>
      </c>
      <c r="W27" s="355"/>
      <c r="X27" s="355"/>
      <c r="Y27" s="355"/>
      <c r="Z27" s="356"/>
      <c r="AA27" s="382" t="s">
        <v>138</v>
      </c>
      <c r="AB27" s="364"/>
      <c r="AC27" s="364"/>
      <c r="AD27" s="364"/>
      <c r="AE27" s="383"/>
      <c r="AF27" s="354" t="s">
        <v>103</v>
      </c>
      <c r="AG27" s="355"/>
      <c r="AH27" s="355"/>
      <c r="AI27" s="355"/>
      <c r="AJ27" s="355"/>
      <c r="AK27" s="363" t="s">
        <v>117</v>
      </c>
      <c r="AL27" s="364"/>
      <c r="AM27" s="364"/>
      <c r="AN27" s="364"/>
      <c r="AO27" s="364"/>
      <c r="AP27" s="365"/>
    </row>
    <row r="28" spans="1:53" ht="19.95" customHeight="1" x14ac:dyDescent="0.2">
      <c r="A28" s="342"/>
      <c r="B28" s="343"/>
      <c r="C28" s="385" t="s">
        <v>94</v>
      </c>
      <c r="D28" s="385"/>
      <c r="E28" s="385"/>
      <c r="F28" s="385"/>
      <c r="G28" s="388">
        <f>入力画面!E33</f>
        <v>28000</v>
      </c>
      <c r="H28" s="391"/>
      <c r="I28" s="391"/>
      <c r="J28" s="57" t="s">
        <v>0</v>
      </c>
      <c r="K28" s="447">
        <f>K21</f>
        <v>0</v>
      </c>
      <c r="L28" s="448"/>
      <c r="M28" s="448"/>
      <c r="N28" s="448"/>
      <c r="O28" s="58" t="s">
        <v>91</v>
      </c>
      <c r="P28" s="57"/>
      <c r="Q28" s="389">
        <f>G28*K28</f>
        <v>0</v>
      </c>
      <c r="R28" s="390"/>
      <c r="S28" s="390"/>
      <c r="T28" s="390"/>
      <c r="U28" s="57" t="s">
        <v>0</v>
      </c>
      <c r="V28" s="388">
        <f>入力画面!J33</f>
        <v>0</v>
      </c>
      <c r="W28" s="391"/>
      <c r="X28" s="391"/>
      <c r="Y28" s="391"/>
      <c r="Z28" s="57" t="s">
        <v>0</v>
      </c>
      <c r="AA28" s="388">
        <f>入力画面!K33</f>
        <v>0</v>
      </c>
      <c r="AB28" s="351"/>
      <c r="AC28" s="351"/>
      <c r="AD28" s="351"/>
      <c r="AE28" s="58" t="s">
        <v>139</v>
      </c>
      <c r="AF28" s="388">
        <f>入力画面!L33</f>
        <v>0</v>
      </c>
      <c r="AG28" s="391"/>
      <c r="AH28" s="391"/>
      <c r="AI28" s="391"/>
      <c r="AJ28" s="58" t="s">
        <v>0</v>
      </c>
      <c r="AK28" s="198"/>
      <c r="AL28" s="19"/>
      <c r="AM28" s="19"/>
      <c r="AN28" s="19"/>
      <c r="AO28" s="19"/>
      <c r="AP28" s="122"/>
    </row>
    <row r="29" spans="1:53" ht="19.95" customHeight="1" x14ac:dyDescent="0.2">
      <c r="A29" s="342"/>
      <c r="B29" s="343"/>
      <c r="C29" s="385" t="s">
        <v>77</v>
      </c>
      <c r="D29" s="385"/>
      <c r="E29" s="385"/>
      <c r="F29" s="385"/>
      <c r="G29" s="386">
        <f>入力画面!F33</f>
        <v>5.7</v>
      </c>
      <c r="H29" s="387"/>
      <c r="I29" s="387"/>
      <c r="J29" s="57" t="s">
        <v>98</v>
      </c>
      <c r="K29" s="388">
        <f>AH21</f>
        <v>0</v>
      </c>
      <c r="L29" s="351"/>
      <c r="M29" s="351"/>
      <c r="N29" s="351"/>
      <c r="O29" s="58" t="s">
        <v>0</v>
      </c>
      <c r="P29" s="57"/>
      <c r="Q29" s="389">
        <f>G29*K29/100</f>
        <v>0</v>
      </c>
      <c r="R29" s="390"/>
      <c r="S29" s="390"/>
      <c r="T29" s="390"/>
      <c r="U29" s="57" t="s">
        <v>0</v>
      </c>
      <c r="V29" s="44"/>
      <c r="W29" s="58"/>
      <c r="X29" s="58" t="s">
        <v>101</v>
      </c>
      <c r="Y29" s="58"/>
      <c r="Z29" s="57"/>
      <c r="AA29" s="350" t="s">
        <v>140</v>
      </c>
      <c r="AB29" s="351"/>
      <c r="AC29" s="351"/>
      <c r="AD29" s="351"/>
      <c r="AE29" s="58"/>
      <c r="AF29" s="389">
        <f>入力画面!P33</f>
        <v>0</v>
      </c>
      <c r="AG29" s="390"/>
      <c r="AH29" s="390"/>
      <c r="AI29" s="390"/>
      <c r="AJ29" s="58" t="s">
        <v>0</v>
      </c>
      <c r="AK29" s="199"/>
      <c r="AL29" s="100"/>
      <c r="AM29" s="100"/>
      <c r="AN29" s="100"/>
      <c r="AO29" s="100"/>
      <c r="AP29" s="123"/>
      <c r="AQ29" s="40"/>
      <c r="AR29" s="40"/>
      <c r="AS29" s="40"/>
      <c r="AT29" s="40"/>
      <c r="AU29" s="40"/>
      <c r="AV29" s="40"/>
      <c r="AW29" s="40"/>
      <c r="AX29" s="40"/>
      <c r="AY29" s="40"/>
      <c r="AZ29" s="40"/>
      <c r="BA29" s="40"/>
    </row>
    <row r="30" spans="1:53" ht="19.95" customHeight="1" thickBot="1" x14ac:dyDescent="0.25">
      <c r="A30" s="344"/>
      <c r="B30" s="345"/>
      <c r="C30" s="357" t="s">
        <v>73</v>
      </c>
      <c r="D30" s="357"/>
      <c r="E30" s="357"/>
      <c r="F30" s="357"/>
      <c r="G30" s="358" t="s">
        <v>101</v>
      </c>
      <c r="H30" s="359"/>
      <c r="I30" s="359"/>
      <c r="J30" s="360"/>
      <c r="K30" s="358" t="s">
        <v>101</v>
      </c>
      <c r="L30" s="359"/>
      <c r="M30" s="359"/>
      <c r="N30" s="359"/>
      <c r="O30" s="359"/>
      <c r="P30" s="360"/>
      <c r="Q30" s="361">
        <f>SUM(Q28:Q29)</f>
        <v>0</v>
      </c>
      <c r="R30" s="362"/>
      <c r="S30" s="362"/>
      <c r="T30" s="362"/>
      <c r="U30" s="59" t="s">
        <v>0</v>
      </c>
      <c r="V30" s="361">
        <f>SUM(V28:Y28)</f>
        <v>0</v>
      </c>
      <c r="W30" s="362"/>
      <c r="X30" s="362"/>
      <c r="Y30" s="362"/>
      <c r="Z30" s="59" t="s">
        <v>0</v>
      </c>
      <c r="AA30" s="384"/>
      <c r="AB30" s="375"/>
      <c r="AC30" s="375"/>
      <c r="AD30" s="375"/>
      <c r="AE30" s="68" t="s">
        <v>139</v>
      </c>
      <c r="AF30" s="361">
        <f>SUM(AF28:AI29)</f>
        <v>0</v>
      </c>
      <c r="AG30" s="362"/>
      <c r="AH30" s="362"/>
      <c r="AI30" s="362"/>
      <c r="AJ30" s="60" t="s">
        <v>0</v>
      </c>
      <c r="AK30" s="352">
        <f>ROUNDDOWN(IF(AF30&gt;670000,670000,AF30),-2)</f>
        <v>0</v>
      </c>
      <c r="AL30" s="353"/>
      <c r="AM30" s="353"/>
      <c r="AN30" s="353"/>
      <c r="AO30" s="353"/>
      <c r="AP30" s="124" t="s">
        <v>0</v>
      </c>
      <c r="AQ30" s="99"/>
      <c r="AR30" s="99"/>
      <c r="AS30" s="99"/>
      <c r="AT30" s="99"/>
      <c r="AU30" s="98"/>
      <c r="AV30" s="45"/>
      <c r="AW30" s="46"/>
      <c r="AX30" s="46"/>
      <c r="AY30" s="46"/>
      <c r="AZ30" s="46"/>
      <c r="BA30" s="98"/>
    </row>
    <row r="31" spans="1:53" ht="19.95" customHeight="1" thickBot="1" x14ac:dyDescent="0.25">
      <c r="AK31" s="67"/>
      <c r="AL31" s="67"/>
      <c r="AM31" s="67"/>
      <c r="AN31" s="67"/>
      <c r="AO31" s="67"/>
      <c r="AP31" s="67"/>
      <c r="AQ31" s="40"/>
      <c r="AR31" s="40"/>
      <c r="AS31" s="40"/>
      <c r="AT31" s="40"/>
      <c r="AU31" s="40"/>
      <c r="AV31" s="40"/>
      <c r="AW31" s="40"/>
      <c r="AX31" s="40"/>
      <c r="AY31" s="40"/>
      <c r="AZ31" s="40"/>
      <c r="BA31" s="40"/>
    </row>
    <row r="32" spans="1:53" ht="19.95" customHeight="1" x14ac:dyDescent="0.2">
      <c r="A32" s="334" t="s">
        <v>68</v>
      </c>
      <c r="B32" s="335"/>
      <c r="C32" s="354" t="s">
        <v>102</v>
      </c>
      <c r="D32" s="355"/>
      <c r="E32" s="355"/>
      <c r="F32" s="356"/>
      <c r="G32" s="354" t="s">
        <v>97</v>
      </c>
      <c r="H32" s="355"/>
      <c r="I32" s="355"/>
      <c r="J32" s="356"/>
      <c r="K32" s="354" t="s">
        <v>99</v>
      </c>
      <c r="L32" s="355"/>
      <c r="M32" s="355"/>
      <c r="N32" s="355"/>
      <c r="O32" s="355"/>
      <c r="P32" s="356"/>
      <c r="Q32" s="354" t="s">
        <v>100</v>
      </c>
      <c r="R32" s="355"/>
      <c r="S32" s="355"/>
      <c r="T32" s="355"/>
      <c r="U32" s="356"/>
      <c r="V32" s="354" t="s">
        <v>74</v>
      </c>
      <c r="W32" s="355"/>
      <c r="X32" s="355"/>
      <c r="Y32" s="355"/>
      <c r="Z32" s="356"/>
      <c r="AA32" s="382" t="s">
        <v>138</v>
      </c>
      <c r="AB32" s="364"/>
      <c r="AC32" s="364"/>
      <c r="AD32" s="364"/>
      <c r="AE32" s="383"/>
      <c r="AF32" s="354" t="s">
        <v>103</v>
      </c>
      <c r="AG32" s="355"/>
      <c r="AH32" s="355"/>
      <c r="AI32" s="355"/>
      <c r="AJ32" s="355"/>
      <c r="AK32" s="363" t="s">
        <v>117</v>
      </c>
      <c r="AL32" s="364"/>
      <c r="AM32" s="364"/>
      <c r="AN32" s="364"/>
      <c r="AO32" s="364"/>
      <c r="AP32" s="365"/>
      <c r="AQ32" s="99"/>
      <c r="AR32" s="99"/>
      <c r="AS32" s="99"/>
      <c r="AT32" s="99"/>
      <c r="AU32" s="98"/>
      <c r="AV32" s="45"/>
      <c r="AW32" s="46"/>
      <c r="AX32" s="46"/>
      <c r="AY32" s="46"/>
      <c r="AZ32" s="46"/>
      <c r="BA32" s="98"/>
    </row>
    <row r="33" spans="1:53" ht="19.95" customHeight="1" x14ac:dyDescent="0.2">
      <c r="A33" s="336"/>
      <c r="B33" s="337"/>
      <c r="C33" s="385" t="s">
        <v>94</v>
      </c>
      <c r="D33" s="385"/>
      <c r="E33" s="385"/>
      <c r="F33" s="385"/>
      <c r="G33" s="388">
        <f>入力画面!E37</f>
        <v>16000</v>
      </c>
      <c r="H33" s="391"/>
      <c r="I33" s="391"/>
      <c r="J33" s="57" t="s">
        <v>0</v>
      </c>
      <c r="K33" s="350">
        <f>K22</f>
        <v>0</v>
      </c>
      <c r="L33" s="351"/>
      <c r="M33" s="351"/>
      <c r="N33" s="351"/>
      <c r="O33" s="58" t="s">
        <v>91</v>
      </c>
      <c r="P33" s="57"/>
      <c r="Q33" s="389">
        <f>G33*K33</f>
        <v>0</v>
      </c>
      <c r="R33" s="390"/>
      <c r="S33" s="390"/>
      <c r="T33" s="390"/>
      <c r="U33" s="57" t="s">
        <v>0</v>
      </c>
      <c r="V33" s="388">
        <f>入力画面!J37</f>
        <v>0</v>
      </c>
      <c r="W33" s="391"/>
      <c r="X33" s="391"/>
      <c r="Y33" s="391"/>
      <c r="Z33" s="57" t="s">
        <v>0</v>
      </c>
      <c r="AA33" s="388">
        <f>入力画面!K37</f>
        <v>0</v>
      </c>
      <c r="AB33" s="351"/>
      <c r="AC33" s="351"/>
      <c r="AD33" s="351"/>
      <c r="AE33" s="58" t="s">
        <v>139</v>
      </c>
      <c r="AF33" s="388">
        <f>入力画面!L37</f>
        <v>0</v>
      </c>
      <c r="AG33" s="391"/>
      <c r="AH33" s="391"/>
      <c r="AI33" s="391"/>
      <c r="AJ33" s="58" t="s">
        <v>0</v>
      </c>
      <c r="AK33" s="198"/>
      <c r="AL33" s="19"/>
      <c r="AM33" s="19"/>
      <c r="AN33" s="19"/>
      <c r="AO33" s="19"/>
      <c r="AP33" s="122"/>
    </row>
    <row r="34" spans="1:53" ht="19.95" customHeight="1" x14ac:dyDescent="0.2">
      <c r="A34" s="336"/>
      <c r="B34" s="337"/>
      <c r="C34" s="385" t="s">
        <v>77</v>
      </c>
      <c r="D34" s="385"/>
      <c r="E34" s="385"/>
      <c r="F34" s="385"/>
      <c r="G34" s="386">
        <f>入力画面!F37</f>
        <v>2.7</v>
      </c>
      <c r="H34" s="387"/>
      <c r="I34" s="387"/>
      <c r="J34" s="57" t="s">
        <v>98</v>
      </c>
      <c r="K34" s="388">
        <f>AH22</f>
        <v>0</v>
      </c>
      <c r="L34" s="351"/>
      <c r="M34" s="351"/>
      <c r="N34" s="351"/>
      <c r="O34" s="58" t="s">
        <v>0</v>
      </c>
      <c r="P34" s="57"/>
      <c r="Q34" s="389">
        <f>G34*K34/100</f>
        <v>0</v>
      </c>
      <c r="R34" s="390"/>
      <c r="S34" s="390"/>
      <c r="T34" s="390"/>
      <c r="U34" s="57" t="s">
        <v>0</v>
      </c>
      <c r="V34" s="44"/>
      <c r="W34" s="58"/>
      <c r="X34" s="58" t="s">
        <v>101</v>
      </c>
      <c r="Y34" s="58"/>
      <c r="Z34" s="57"/>
      <c r="AA34" s="350" t="s">
        <v>140</v>
      </c>
      <c r="AB34" s="351"/>
      <c r="AC34" s="351"/>
      <c r="AD34" s="351"/>
      <c r="AE34" s="58"/>
      <c r="AF34" s="389">
        <f>入力画面!P37</f>
        <v>0</v>
      </c>
      <c r="AG34" s="390"/>
      <c r="AH34" s="390"/>
      <c r="AI34" s="390"/>
      <c r="AJ34" s="58" t="s">
        <v>0</v>
      </c>
      <c r="AK34" s="199"/>
      <c r="AL34" s="100"/>
      <c r="AM34" s="100"/>
      <c r="AN34" s="100"/>
      <c r="AO34" s="100"/>
      <c r="AP34" s="123"/>
      <c r="AQ34" s="40"/>
      <c r="AR34" s="40"/>
      <c r="AS34" s="40"/>
      <c r="AT34" s="40"/>
      <c r="AU34" s="40"/>
      <c r="AV34" s="40"/>
      <c r="AW34" s="40"/>
      <c r="AX34" s="40"/>
      <c r="AY34" s="40"/>
      <c r="AZ34" s="40"/>
      <c r="BA34" s="40"/>
    </row>
    <row r="35" spans="1:53" ht="19.95" customHeight="1" thickBot="1" x14ac:dyDescent="0.25">
      <c r="A35" s="338"/>
      <c r="B35" s="339"/>
      <c r="C35" s="357" t="s">
        <v>73</v>
      </c>
      <c r="D35" s="357"/>
      <c r="E35" s="357"/>
      <c r="F35" s="357"/>
      <c r="G35" s="358" t="s">
        <v>101</v>
      </c>
      <c r="H35" s="359"/>
      <c r="I35" s="359"/>
      <c r="J35" s="360"/>
      <c r="K35" s="358" t="s">
        <v>101</v>
      </c>
      <c r="L35" s="359"/>
      <c r="M35" s="359"/>
      <c r="N35" s="359"/>
      <c r="O35" s="359"/>
      <c r="P35" s="360"/>
      <c r="Q35" s="361">
        <f>SUM(Q33:Q34)</f>
        <v>0</v>
      </c>
      <c r="R35" s="362"/>
      <c r="S35" s="362"/>
      <c r="T35" s="362"/>
      <c r="U35" s="59" t="s">
        <v>0</v>
      </c>
      <c r="V35" s="361">
        <f>SUM(V33:Y33)</f>
        <v>0</v>
      </c>
      <c r="W35" s="362"/>
      <c r="X35" s="362"/>
      <c r="Y35" s="362"/>
      <c r="Z35" s="59" t="s">
        <v>0</v>
      </c>
      <c r="AA35" s="374"/>
      <c r="AB35" s="375"/>
      <c r="AC35" s="375"/>
      <c r="AD35" s="375"/>
      <c r="AE35" s="68" t="s">
        <v>139</v>
      </c>
      <c r="AF35" s="361">
        <f>SUM(AF33:AI34)</f>
        <v>0</v>
      </c>
      <c r="AG35" s="362"/>
      <c r="AH35" s="362"/>
      <c r="AI35" s="362"/>
      <c r="AJ35" s="60" t="s">
        <v>0</v>
      </c>
      <c r="AK35" s="352">
        <f>ROUNDDOWN(IF(AF35&gt;260000,260000,AF35),-2)</f>
        <v>0</v>
      </c>
      <c r="AL35" s="353"/>
      <c r="AM35" s="353"/>
      <c r="AN35" s="353"/>
      <c r="AO35" s="353"/>
      <c r="AP35" s="124" t="s">
        <v>0</v>
      </c>
      <c r="AQ35" s="99"/>
      <c r="AR35" s="99"/>
      <c r="AS35" s="99"/>
      <c r="AT35" s="99"/>
      <c r="AU35" s="98"/>
      <c r="AV35" s="45"/>
      <c r="AW35" s="46"/>
      <c r="AX35" s="46"/>
      <c r="AY35" s="46"/>
      <c r="AZ35" s="46"/>
      <c r="BA35" s="98"/>
    </row>
    <row r="36" spans="1:53" ht="19.95" customHeight="1" thickBot="1" x14ac:dyDescent="0.25">
      <c r="AK36" s="67"/>
      <c r="AL36" s="67"/>
      <c r="AM36" s="67"/>
      <c r="AN36" s="67"/>
      <c r="AO36" s="67"/>
      <c r="AP36" s="67"/>
      <c r="AQ36" s="40"/>
      <c r="AR36" s="40"/>
      <c r="AS36" s="40"/>
      <c r="AT36" s="40"/>
      <c r="AU36" s="40"/>
      <c r="AV36" s="40"/>
      <c r="AW36" s="40"/>
      <c r="AX36" s="40"/>
      <c r="AY36" s="40"/>
      <c r="AZ36" s="40"/>
      <c r="BA36" s="40"/>
    </row>
    <row r="37" spans="1:53" ht="19.95" customHeight="1" x14ac:dyDescent="0.2">
      <c r="A37" s="340" t="s">
        <v>190</v>
      </c>
      <c r="B37" s="341"/>
      <c r="C37" s="354" t="s">
        <v>102</v>
      </c>
      <c r="D37" s="355"/>
      <c r="E37" s="355"/>
      <c r="F37" s="356"/>
      <c r="G37" s="354" t="s">
        <v>97</v>
      </c>
      <c r="H37" s="355"/>
      <c r="I37" s="355"/>
      <c r="J37" s="356"/>
      <c r="K37" s="354" t="s">
        <v>99</v>
      </c>
      <c r="L37" s="355"/>
      <c r="M37" s="355"/>
      <c r="N37" s="355"/>
      <c r="O37" s="355"/>
      <c r="P37" s="356"/>
      <c r="Q37" s="354" t="s">
        <v>100</v>
      </c>
      <c r="R37" s="355"/>
      <c r="S37" s="355"/>
      <c r="T37" s="355"/>
      <c r="U37" s="356"/>
      <c r="V37" s="354" t="s">
        <v>74</v>
      </c>
      <c r="W37" s="355"/>
      <c r="X37" s="355"/>
      <c r="Y37" s="355"/>
      <c r="Z37" s="356"/>
      <c r="AA37" s="382" t="s">
        <v>138</v>
      </c>
      <c r="AB37" s="364"/>
      <c r="AC37" s="364"/>
      <c r="AD37" s="364"/>
      <c r="AE37" s="383"/>
      <c r="AF37" s="354" t="s">
        <v>103</v>
      </c>
      <c r="AG37" s="355"/>
      <c r="AH37" s="355"/>
      <c r="AI37" s="355"/>
      <c r="AJ37" s="381"/>
      <c r="AK37" s="363" t="s">
        <v>117</v>
      </c>
      <c r="AL37" s="364"/>
      <c r="AM37" s="364"/>
      <c r="AN37" s="364"/>
      <c r="AO37" s="364"/>
      <c r="AP37" s="365"/>
      <c r="AQ37" s="99"/>
      <c r="AR37" s="99"/>
      <c r="AS37" s="99"/>
      <c r="AT37" s="99"/>
      <c r="AU37" s="98"/>
      <c r="AV37" s="45"/>
      <c r="AW37" s="46"/>
      <c r="AX37" s="46"/>
      <c r="AY37" s="46"/>
      <c r="AZ37" s="46"/>
      <c r="BA37" s="98"/>
    </row>
    <row r="38" spans="1:53" ht="19.95" customHeight="1" x14ac:dyDescent="0.2">
      <c r="A38" s="342"/>
      <c r="B38" s="343"/>
      <c r="C38" s="376" t="s">
        <v>94</v>
      </c>
      <c r="D38" s="376"/>
      <c r="E38" s="376"/>
      <c r="F38" s="376"/>
      <c r="G38" s="346">
        <f>入力画面!E41</f>
        <v>17000</v>
      </c>
      <c r="H38" s="347"/>
      <c r="I38" s="347"/>
      <c r="J38" s="221" t="s">
        <v>0</v>
      </c>
      <c r="K38" s="348">
        <f>K23</f>
        <v>0</v>
      </c>
      <c r="L38" s="349"/>
      <c r="M38" s="349"/>
      <c r="N38" s="349"/>
      <c r="O38" s="222" t="s">
        <v>91</v>
      </c>
      <c r="P38" s="221"/>
      <c r="Q38" s="379">
        <f>G38*K38</f>
        <v>0</v>
      </c>
      <c r="R38" s="380"/>
      <c r="S38" s="380"/>
      <c r="T38" s="380"/>
      <c r="U38" s="221" t="s">
        <v>0</v>
      </c>
      <c r="V38" s="346">
        <f>入力画面!J41</f>
        <v>0</v>
      </c>
      <c r="W38" s="347"/>
      <c r="X38" s="347"/>
      <c r="Y38" s="347"/>
      <c r="Z38" s="221" t="s">
        <v>0</v>
      </c>
      <c r="AA38" s="348" t="s">
        <v>140</v>
      </c>
      <c r="AB38" s="349"/>
      <c r="AC38" s="349"/>
      <c r="AD38" s="349"/>
      <c r="AE38" s="58"/>
      <c r="AF38" s="346">
        <f>入力画面!L41</f>
        <v>0</v>
      </c>
      <c r="AG38" s="347"/>
      <c r="AH38" s="347"/>
      <c r="AI38" s="347"/>
      <c r="AJ38" s="225" t="s">
        <v>0</v>
      </c>
      <c r="AK38" s="198"/>
      <c r="AL38" s="19"/>
      <c r="AM38" s="19"/>
      <c r="AN38" s="19"/>
      <c r="AO38" s="19"/>
      <c r="AP38" s="122"/>
    </row>
    <row r="39" spans="1:53" ht="19.95" customHeight="1" x14ac:dyDescent="0.2">
      <c r="A39" s="342"/>
      <c r="B39" s="343"/>
      <c r="C39" s="376" t="s">
        <v>77</v>
      </c>
      <c r="D39" s="376"/>
      <c r="E39" s="376"/>
      <c r="F39" s="376"/>
      <c r="G39" s="377">
        <f>入力画面!F41</f>
        <v>2.2000000000000002</v>
      </c>
      <c r="H39" s="378"/>
      <c r="I39" s="378"/>
      <c r="J39" s="221" t="s">
        <v>98</v>
      </c>
      <c r="K39" s="346">
        <f>AH23</f>
        <v>0</v>
      </c>
      <c r="L39" s="349"/>
      <c r="M39" s="349"/>
      <c r="N39" s="349"/>
      <c r="O39" s="222" t="s">
        <v>0</v>
      </c>
      <c r="P39" s="221"/>
      <c r="Q39" s="379">
        <f>G39*K39/100</f>
        <v>0</v>
      </c>
      <c r="R39" s="380"/>
      <c r="S39" s="380"/>
      <c r="T39" s="380"/>
      <c r="U39" s="221" t="s">
        <v>0</v>
      </c>
      <c r="V39" s="223"/>
      <c r="W39" s="222"/>
      <c r="X39" s="222" t="s">
        <v>101</v>
      </c>
      <c r="Y39" s="222"/>
      <c r="Z39" s="221"/>
      <c r="AA39" s="350" t="s">
        <v>140</v>
      </c>
      <c r="AB39" s="351"/>
      <c r="AC39" s="351"/>
      <c r="AD39" s="351"/>
      <c r="AE39" s="58"/>
      <c r="AF39" s="379">
        <f>入力画面!P41</f>
        <v>0</v>
      </c>
      <c r="AG39" s="380"/>
      <c r="AH39" s="380"/>
      <c r="AI39" s="380"/>
      <c r="AJ39" s="225" t="s">
        <v>0</v>
      </c>
      <c r="AK39" s="199"/>
      <c r="AL39" s="100"/>
      <c r="AM39" s="100"/>
      <c r="AN39" s="100"/>
      <c r="AO39" s="100"/>
      <c r="AP39" s="123"/>
    </row>
    <row r="40" spans="1:53" ht="19.95" customHeight="1" thickBot="1" x14ac:dyDescent="0.25">
      <c r="A40" s="344"/>
      <c r="B40" s="345"/>
      <c r="C40" s="366" t="s">
        <v>73</v>
      </c>
      <c r="D40" s="366"/>
      <c r="E40" s="366"/>
      <c r="F40" s="366"/>
      <c r="G40" s="367" t="s">
        <v>101</v>
      </c>
      <c r="H40" s="368"/>
      <c r="I40" s="368"/>
      <c r="J40" s="369"/>
      <c r="K40" s="367" t="s">
        <v>101</v>
      </c>
      <c r="L40" s="368"/>
      <c r="M40" s="368"/>
      <c r="N40" s="368"/>
      <c r="O40" s="368"/>
      <c r="P40" s="369"/>
      <c r="Q40" s="370">
        <f>SUM(Q38:Q39)</f>
        <v>0</v>
      </c>
      <c r="R40" s="371"/>
      <c r="S40" s="371"/>
      <c r="T40" s="371"/>
      <c r="U40" s="224" t="s">
        <v>0</v>
      </c>
      <c r="V40" s="370">
        <f>SUM(V38:Y38)</f>
        <v>0</v>
      </c>
      <c r="W40" s="371"/>
      <c r="X40" s="371"/>
      <c r="Y40" s="371"/>
      <c r="Z40" s="224" t="s">
        <v>0</v>
      </c>
      <c r="AA40" s="374" t="s">
        <v>140</v>
      </c>
      <c r="AB40" s="375"/>
      <c r="AC40" s="375"/>
      <c r="AD40" s="375"/>
      <c r="AE40" s="68"/>
      <c r="AF40" s="370">
        <f>SUM(AF38:AI39)</f>
        <v>0</v>
      </c>
      <c r="AG40" s="371"/>
      <c r="AH40" s="371"/>
      <c r="AI40" s="371"/>
      <c r="AJ40" s="226" t="s">
        <v>0</v>
      </c>
      <c r="AK40" s="372">
        <f>ROUNDDOWN(IF(AF40&gt;170000,170000,AF40),-2)</f>
        <v>0</v>
      </c>
      <c r="AL40" s="373"/>
      <c r="AM40" s="373"/>
      <c r="AN40" s="373"/>
      <c r="AO40" s="373"/>
      <c r="AP40" s="226" t="s">
        <v>0</v>
      </c>
      <c r="AQ40" s="45"/>
      <c r="AR40" s="46"/>
      <c r="AS40" s="46"/>
      <c r="AT40" s="46"/>
      <c r="AU40" s="46"/>
      <c r="AV40" s="98"/>
    </row>
    <row r="41" spans="1:53" ht="19.95" customHeight="1" thickBot="1" x14ac:dyDescent="0.25"/>
    <row r="42" spans="1:53" ht="19.95" customHeight="1" x14ac:dyDescent="0.2">
      <c r="A42" s="334" t="s">
        <v>178</v>
      </c>
      <c r="B42" s="335"/>
      <c r="C42" s="354" t="s">
        <v>102</v>
      </c>
      <c r="D42" s="355"/>
      <c r="E42" s="355"/>
      <c r="F42" s="356"/>
      <c r="G42" s="354" t="s">
        <v>97</v>
      </c>
      <c r="H42" s="355"/>
      <c r="I42" s="355"/>
      <c r="J42" s="356"/>
      <c r="K42" s="354" t="s">
        <v>99</v>
      </c>
      <c r="L42" s="355"/>
      <c r="M42" s="355"/>
      <c r="N42" s="355"/>
      <c r="O42" s="355"/>
      <c r="P42" s="356"/>
      <c r="Q42" s="354" t="s">
        <v>100</v>
      </c>
      <c r="R42" s="355"/>
      <c r="S42" s="355"/>
      <c r="T42" s="355"/>
      <c r="U42" s="356"/>
      <c r="V42" s="354" t="s">
        <v>74</v>
      </c>
      <c r="W42" s="355"/>
      <c r="X42" s="355"/>
      <c r="Y42" s="355"/>
      <c r="Z42" s="356"/>
      <c r="AA42" s="382" t="s">
        <v>138</v>
      </c>
      <c r="AB42" s="364"/>
      <c r="AC42" s="364"/>
      <c r="AD42" s="364"/>
      <c r="AE42" s="383"/>
      <c r="AF42" s="354" t="s">
        <v>103</v>
      </c>
      <c r="AG42" s="355"/>
      <c r="AH42" s="355"/>
      <c r="AI42" s="355"/>
      <c r="AJ42" s="355"/>
      <c r="AK42" s="363" t="s">
        <v>117</v>
      </c>
      <c r="AL42" s="364"/>
      <c r="AM42" s="364"/>
      <c r="AN42" s="364"/>
      <c r="AO42" s="364"/>
      <c r="AP42" s="365"/>
      <c r="AQ42" s="99"/>
      <c r="AR42" s="99"/>
      <c r="AS42" s="99"/>
      <c r="AT42" s="99"/>
      <c r="AU42" s="98"/>
      <c r="AV42" s="45"/>
      <c r="AW42" s="46"/>
      <c r="AX42" s="46"/>
      <c r="AY42" s="46"/>
      <c r="AZ42" s="46"/>
      <c r="BA42" s="98"/>
    </row>
    <row r="43" spans="1:53" ht="19.95" customHeight="1" x14ac:dyDescent="0.2">
      <c r="A43" s="336"/>
      <c r="B43" s="337"/>
      <c r="C43" s="385" t="s">
        <v>94</v>
      </c>
      <c r="D43" s="385"/>
      <c r="E43" s="385"/>
      <c r="F43" s="385"/>
      <c r="G43" s="388">
        <f>入力画面!E45</f>
        <v>1600</v>
      </c>
      <c r="H43" s="391"/>
      <c r="I43" s="391"/>
      <c r="J43" s="57" t="s">
        <v>0</v>
      </c>
      <c r="K43" s="350">
        <f>K24</f>
        <v>0</v>
      </c>
      <c r="L43" s="351"/>
      <c r="M43" s="351"/>
      <c r="N43" s="351"/>
      <c r="O43" s="58" t="s">
        <v>91</v>
      </c>
      <c r="P43" s="57"/>
      <c r="Q43" s="389">
        <f>G43*K43</f>
        <v>0</v>
      </c>
      <c r="R43" s="390"/>
      <c r="S43" s="390"/>
      <c r="T43" s="390"/>
      <c r="U43" s="57" t="s">
        <v>0</v>
      </c>
      <c r="V43" s="388">
        <f>入力画面!J45</f>
        <v>0</v>
      </c>
      <c r="W43" s="391"/>
      <c r="X43" s="391"/>
      <c r="Y43" s="391"/>
      <c r="Z43" s="57" t="s">
        <v>0</v>
      </c>
      <c r="AA43" s="388">
        <f>入力画面!K45</f>
        <v>0</v>
      </c>
      <c r="AB43" s="351"/>
      <c r="AC43" s="351"/>
      <c r="AD43" s="351"/>
      <c r="AE43" s="58" t="s">
        <v>0</v>
      </c>
      <c r="AF43" s="388">
        <f>入力画面!L45</f>
        <v>0</v>
      </c>
      <c r="AG43" s="391"/>
      <c r="AH43" s="391"/>
      <c r="AI43" s="391"/>
      <c r="AJ43" s="58" t="s">
        <v>0</v>
      </c>
      <c r="AK43" s="198"/>
      <c r="AL43" s="19"/>
      <c r="AM43" s="19"/>
      <c r="AN43" s="19"/>
      <c r="AO43" s="19"/>
      <c r="AP43" s="122"/>
    </row>
    <row r="44" spans="1:53" ht="19.95" customHeight="1" x14ac:dyDescent="0.2">
      <c r="A44" s="336"/>
      <c r="B44" s="337"/>
      <c r="C44" s="449" t="s">
        <v>183</v>
      </c>
      <c r="D44" s="449"/>
      <c r="E44" s="449"/>
      <c r="F44" s="449"/>
      <c r="G44" s="388">
        <f>入力画面!E49</f>
        <v>160</v>
      </c>
      <c r="H44" s="391"/>
      <c r="I44" s="391"/>
      <c r="J44" s="57" t="s">
        <v>0</v>
      </c>
      <c r="K44" s="388">
        <f>K24-K25</f>
        <v>0</v>
      </c>
      <c r="L44" s="351"/>
      <c r="M44" s="351"/>
      <c r="N44" s="351"/>
      <c r="O44" s="58" t="s">
        <v>91</v>
      </c>
      <c r="P44" s="57"/>
      <c r="Q44" s="389">
        <f>G44*K44</f>
        <v>0</v>
      </c>
      <c r="R44" s="390"/>
      <c r="S44" s="390"/>
      <c r="T44" s="390"/>
      <c r="U44" s="57" t="s">
        <v>0</v>
      </c>
      <c r="V44" s="388">
        <f>入力画面!J49</f>
        <v>0</v>
      </c>
      <c r="W44" s="391"/>
      <c r="X44" s="391"/>
      <c r="Y44" s="391"/>
      <c r="Z44" s="57" t="s">
        <v>0</v>
      </c>
      <c r="AA44" s="388">
        <f>入力画面!K49</f>
        <v>0</v>
      </c>
      <c r="AB44" s="351"/>
      <c r="AC44" s="351"/>
      <c r="AD44" s="351"/>
      <c r="AE44" s="58" t="s">
        <v>0</v>
      </c>
      <c r="AF44" s="388">
        <f>入力画面!L49</f>
        <v>0</v>
      </c>
      <c r="AG44" s="391"/>
      <c r="AH44" s="391"/>
      <c r="AI44" s="391"/>
      <c r="AJ44" s="58" t="s">
        <v>0</v>
      </c>
      <c r="AK44" s="198"/>
      <c r="AL44" s="19"/>
      <c r="AM44" s="19"/>
      <c r="AN44" s="19"/>
      <c r="AO44" s="19"/>
      <c r="AP44" s="122"/>
    </row>
    <row r="45" spans="1:53" ht="19.95" customHeight="1" x14ac:dyDescent="0.2">
      <c r="A45" s="336"/>
      <c r="B45" s="337"/>
      <c r="C45" s="385" t="s">
        <v>77</v>
      </c>
      <c r="D45" s="385"/>
      <c r="E45" s="385"/>
      <c r="F45" s="385"/>
      <c r="G45" s="386">
        <f>入力画面!F45</f>
        <v>0.2</v>
      </c>
      <c r="H45" s="387"/>
      <c r="I45" s="387"/>
      <c r="J45" s="57" t="s">
        <v>98</v>
      </c>
      <c r="K45" s="388">
        <f>AH24</f>
        <v>0</v>
      </c>
      <c r="L45" s="351"/>
      <c r="M45" s="351"/>
      <c r="N45" s="351"/>
      <c r="O45" s="58" t="s">
        <v>0</v>
      </c>
      <c r="P45" s="57"/>
      <c r="Q45" s="389">
        <f>G45*K45/100</f>
        <v>0</v>
      </c>
      <c r="R45" s="390"/>
      <c r="S45" s="390"/>
      <c r="T45" s="390"/>
      <c r="U45" s="57" t="s">
        <v>0</v>
      </c>
      <c r="V45" s="44"/>
      <c r="W45" s="58"/>
      <c r="X45" s="58" t="s">
        <v>101</v>
      </c>
      <c r="Y45" s="58"/>
      <c r="Z45" s="57"/>
      <c r="AA45" s="350" t="s">
        <v>101</v>
      </c>
      <c r="AB45" s="351"/>
      <c r="AC45" s="351"/>
      <c r="AD45" s="351"/>
      <c r="AE45" s="58"/>
      <c r="AF45" s="389">
        <f>入力画面!P45</f>
        <v>0</v>
      </c>
      <c r="AG45" s="390"/>
      <c r="AH45" s="390"/>
      <c r="AI45" s="390"/>
      <c r="AJ45" s="58" t="s">
        <v>0</v>
      </c>
      <c r="AK45" s="199"/>
      <c r="AL45" s="100"/>
      <c r="AM45" s="100"/>
      <c r="AN45" s="100"/>
      <c r="AO45" s="100"/>
      <c r="AP45" s="123"/>
      <c r="AQ45" s="40"/>
      <c r="AR45" s="40"/>
      <c r="AS45" s="40"/>
      <c r="AT45" s="40"/>
      <c r="AU45" s="40"/>
      <c r="AV45" s="40"/>
      <c r="AW45" s="40"/>
      <c r="AX45" s="40"/>
      <c r="AY45" s="40"/>
      <c r="AZ45" s="40"/>
      <c r="BA45" s="40"/>
    </row>
    <row r="46" spans="1:53" ht="19.95" customHeight="1" thickBot="1" x14ac:dyDescent="0.25">
      <c r="A46" s="338"/>
      <c r="B46" s="339"/>
      <c r="C46" s="357" t="s">
        <v>73</v>
      </c>
      <c r="D46" s="357"/>
      <c r="E46" s="357"/>
      <c r="F46" s="357"/>
      <c r="G46" s="358" t="s">
        <v>101</v>
      </c>
      <c r="H46" s="359"/>
      <c r="I46" s="359"/>
      <c r="J46" s="360"/>
      <c r="K46" s="358" t="s">
        <v>101</v>
      </c>
      <c r="L46" s="359"/>
      <c r="M46" s="359"/>
      <c r="N46" s="359"/>
      <c r="O46" s="359"/>
      <c r="P46" s="360"/>
      <c r="Q46" s="361">
        <f>SUM(Q43:Q45)</f>
        <v>0</v>
      </c>
      <c r="R46" s="362"/>
      <c r="S46" s="362"/>
      <c r="T46" s="362"/>
      <c r="U46" s="59" t="s">
        <v>0</v>
      </c>
      <c r="V46" s="361">
        <f>SUM(V43:Y44)</f>
        <v>0</v>
      </c>
      <c r="W46" s="362"/>
      <c r="X46" s="362"/>
      <c r="Y46" s="362"/>
      <c r="Z46" s="59" t="s">
        <v>0</v>
      </c>
      <c r="AA46" s="374"/>
      <c r="AB46" s="375"/>
      <c r="AC46" s="375"/>
      <c r="AD46" s="375"/>
      <c r="AE46" s="68" t="s">
        <v>0</v>
      </c>
      <c r="AF46" s="361">
        <f>SUM(AF43:AI45)</f>
        <v>0</v>
      </c>
      <c r="AG46" s="362"/>
      <c r="AH46" s="362"/>
      <c r="AI46" s="362"/>
      <c r="AJ46" s="60" t="s">
        <v>0</v>
      </c>
      <c r="AK46" s="352">
        <f>ROUNDDOWN(IF(AF46&gt;30000,30000,AF46),-2)</f>
        <v>0</v>
      </c>
      <c r="AL46" s="353"/>
      <c r="AM46" s="353"/>
      <c r="AN46" s="353"/>
      <c r="AO46" s="353"/>
      <c r="AP46" s="124" t="s">
        <v>0</v>
      </c>
      <c r="AQ46" s="99"/>
      <c r="AR46" s="99"/>
      <c r="AS46" s="99"/>
      <c r="AT46" s="99"/>
      <c r="AU46" s="98"/>
      <c r="AV46" s="45"/>
      <c r="AW46" s="46"/>
      <c r="AX46" s="46"/>
      <c r="AY46" s="46"/>
      <c r="AZ46" s="46"/>
      <c r="BA46" s="98"/>
    </row>
    <row r="47" spans="1:53" ht="19.95" customHeight="1" thickBot="1" x14ac:dyDescent="0.25">
      <c r="AK47" s="67"/>
      <c r="AL47" s="67"/>
      <c r="AM47" s="67"/>
      <c r="AN47" s="67"/>
      <c r="AO47" s="67"/>
      <c r="AP47" s="67"/>
      <c r="AQ47" s="40"/>
      <c r="AR47" s="40"/>
      <c r="AS47" s="40"/>
      <c r="AT47" s="40"/>
      <c r="AU47" s="40"/>
      <c r="AV47" s="40"/>
      <c r="AW47" s="40"/>
      <c r="AX47" s="40"/>
      <c r="AY47" s="40"/>
      <c r="AZ47" s="40"/>
      <c r="BA47" s="40"/>
    </row>
    <row r="48" spans="1:53" ht="19.95" customHeight="1" x14ac:dyDescent="0.2">
      <c r="AE48" s="320" t="s">
        <v>181</v>
      </c>
      <c r="AF48" s="321"/>
      <c r="AG48" s="321"/>
      <c r="AH48" s="321"/>
      <c r="AI48" s="321"/>
      <c r="AJ48" s="322"/>
      <c r="AK48" s="320" t="s">
        <v>182</v>
      </c>
      <c r="AL48" s="321"/>
      <c r="AM48" s="321"/>
      <c r="AN48" s="321"/>
      <c r="AO48" s="321"/>
      <c r="AP48" s="322"/>
      <c r="AQ48" s="40"/>
      <c r="AR48" s="40"/>
      <c r="AS48" s="40"/>
      <c r="AT48" s="40"/>
      <c r="AU48" s="40"/>
      <c r="AV48" s="40"/>
      <c r="AW48" s="40"/>
      <c r="AX48" s="40"/>
      <c r="AY48" s="40"/>
      <c r="AZ48" s="40"/>
      <c r="BA48" s="40"/>
    </row>
    <row r="49" spans="1:53" ht="19.95" customHeight="1" thickBot="1" x14ac:dyDescent="0.25">
      <c r="AE49" s="323">
        <f>$AK$30+$AK$35+$AK$40+$AK$46</f>
        <v>0</v>
      </c>
      <c r="AF49" s="324"/>
      <c r="AG49" s="324"/>
      <c r="AH49" s="324"/>
      <c r="AI49" s="324"/>
      <c r="AJ49" s="204" t="s">
        <v>0</v>
      </c>
      <c r="AK49" s="323">
        <f>ROUNDDOWN($AE$49/12,0)</f>
        <v>0</v>
      </c>
      <c r="AL49" s="324"/>
      <c r="AM49" s="324"/>
      <c r="AN49" s="324"/>
      <c r="AO49" s="324"/>
      <c r="AP49" s="204" t="s">
        <v>0</v>
      </c>
      <c r="AQ49" s="99"/>
      <c r="AR49" s="99"/>
      <c r="AS49" s="99"/>
      <c r="AT49" s="99"/>
      <c r="AU49" s="98"/>
      <c r="AV49" s="45"/>
      <c r="AW49" s="46"/>
      <c r="AX49" s="46"/>
      <c r="AY49" s="46"/>
      <c r="AZ49" s="46"/>
      <c r="BA49" s="98"/>
    </row>
    <row r="50" spans="1:53" ht="19.95" customHeight="1" thickBot="1" x14ac:dyDescent="0.25">
      <c r="A50" s="47"/>
      <c r="B50" s="325" t="s">
        <v>187</v>
      </c>
      <c r="C50" s="326"/>
      <c r="D50" s="326"/>
      <c r="E50" s="326"/>
      <c r="F50" s="326"/>
      <c r="G50" s="326"/>
      <c r="H50" s="326"/>
      <c r="I50" s="326"/>
      <c r="J50" s="327"/>
      <c r="W50" s="49"/>
      <c r="X50" s="47"/>
      <c r="Y50" s="48"/>
      <c r="Z50" s="49"/>
      <c r="AA50" s="49"/>
      <c r="AB50" s="49"/>
      <c r="AC50" s="47"/>
      <c r="AD50" s="48"/>
      <c r="AE50" s="49"/>
      <c r="AF50" s="49"/>
      <c r="AG50" s="49"/>
      <c r="AH50" s="49"/>
      <c r="AI50" s="46"/>
      <c r="AJ50" s="40"/>
      <c r="AK50" s="40"/>
      <c r="AL50" s="19"/>
      <c r="AQ50" s="40"/>
      <c r="AR50" s="40"/>
      <c r="AS50" s="40"/>
      <c r="AT50" s="40"/>
      <c r="AU50" s="40"/>
      <c r="AV50" s="40"/>
    </row>
    <row r="51" spans="1:53" ht="19.95" customHeight="1" x14ac:dyDescent="0.2">
      <c r="A51" s="47"/>
      <c r="B51" s="328" t="s">
        <v>188</v>
      </c>
      <c r="C51" s="329"/>
      <c r="D51" s="329"/>
      <c r="E51" s="329"/>
      <c r="F51" s="329"/>
      <c r="G51" s="329"/>
      <c r="H51" s="329"/>
      <c r="I51" s="329"/>
      <c r="J51" s="330"/>
      <c r="W51" s="49"/>
      <c r="X51" s="47"/>
      <c r="Y51" s="48"/>
      <c r="Z51" s="49"/>
      <c r="AA51" s="49"/>
      <c r="AB51" s="49"/>
      <c r="AC51" s="47"/>
      <c r="AD51" s="48"/>
      <c r="AE51" s="320" t="s">
        <v>185</v>
      </c>
      <c r="AF51" s="321"/>
      <c r="AG51" s="321"/>
      <c r="AH51" s="321"/>
      <c r="AI51" s="321"/>
      <c r="AJ51" s="322"/>
      <c r="AK51" s="320" t="s">
        <v>186</v>
      </c>
      <c r="AL51" s="321"/>
      <c r="AM51" s="321"/>
      <c r="AN51" s="321"/>
      <c r="AO51" s="321"/>
      <c r="AP51" s="322"/>
      <c r="AQ51" s="45"/>
      <c r="AR51" s="46"/>
      <c r="AS51" s="46"/>
      <c r="AT51" s="46"/>
      <c r="AU51" s="46"/>
      <c r="AV51" s="98"/>
    </row>
    <row r="52" spans="1:53" ht="19.95" customHeight="1" thickBot="1" x14ac:dyDescent="0.25">
      <c r="A52" s="47"/>
      <c r="B52" s="331" t="s">
        <v>189</v>
      </c>
      <c r="C52" s="332"/>
      <c r="D52" s="332"/>
      <c r="E52" s="332"/>
      <c r="F52" s="332"/>
      <c r="G52" s="332"/>
      <c r="H52" s="332"/>
      <c r="I52" s="332"/>
      <c r="J52" s="333"/>
      <c r="W52" s="49"/>
      <c r="X52" s="47"/>
      <c r="Y52" s="48"/>
      <c r="Z52" s="49"/>
      <c r="AA52" s="49"/>
      <c r="AB52" s="49"/>
      <c r="AC52" s="47"/>
      <c r="AD52" s="48"/>
      <c r="AE52" s="323">
        <f>AE49-AK52*7</f>
        <v>0</v>
      </c>
      <c r="AF52" s="324"/>
      <c r="AG52" s="324"/>
      <c r="AH52" s="324"/>
      <c r="AI52" s="324"/>
      <c r="AJ52" s="204" t="s">
        <v>0</v>
      </c>
      <c r="AK52" s="323">
        <f>ROUNDDOWN($AE$49/8,-2)</f>
        <v>0</v>
      </c>
      <c r="AL52" s="324"/>
      <c r="AM52" s="324"/>
      <c r="AN52" s="324"/>
      <c r="AO52" s="324"/>
      <c r="AP52" s="204" t="s">
        <v>0</v>
      </c>
    </row>
    <row r="53" spans="1:53" ht="19.95" customHeight="1" x14ac:dyDescent="0.2">
      <c r="AJ53" s="218"/>
      <c r="AK53" s="218"/>
      <c r="AL53" s="218"/>
    </row>
  </sheetData>
  <mergeCells count="282">
    <mergeCell ref="C44:F44"/>
    <mergeCell ref="G44:I44"/>
    <mergeCell ref="K44:N44"/>
    <mergeCell ref="Q44:T44"/>
    <mergeCell ref="V44:Y44"/>
    <mergeCell ref="AA44:AD44"/>
    <mergeCell ref="AF44:AI44"/>
    <mergeCell ref="AK48:AP48"/>
    <mergeCell ref="AK49:AO49"/>
    <mergeCell ref="AB25:AG25"/>
    <mergeCell ref="AH25:AK25"/>
    <mergeCell ref="AK46:AO46"/>
    <mergeCell ref="AA45:AD45"/>
    <mergeCell ref="AF45:AI45"/>
    <mergeCell ref="C46:F46"/>
    <mergeCell ref="G46:J46"/>
    <mergeCell ref="K46:P46"/>
    <mergeCell ref="Q46:T46"/>
    <mergeCell ref="V46:Y46"/>
    <mergeCell ref="AA46:AD46"/>
    <mergeCell ref="AF46:AI46"/>
    <mergeCell ref="K28:N28"/>
    <mergeCell ref="Q28:T28"/>
    <mergeCell ref="V28:Y28"/>
    <mergeCell ref="AF28:AI28"/>
    <mergeCell ref="AA28:AD28"/>
    <mergeCell ref="AA29:AD29"/>
    <mergeCell ref="AK30:AO30"/>
    <mergeCell ref="C32:F32"/>
    <mergeCell ref="G32:J32"/>
    <mergeCell ref="K32:P32"/>
    <mergeCell ref="Q32:U32"/>
    <mergeCell ref="C30:F30"/>
    <mergeCell ref="A24:J24"/>
    <mergeCell ref="AB24:AG24"/>
    <mergeCell ref="AH24:AK24"/>
    <mergeCell ref="A21:J21"/>
    <mergeCell ref="A42:B46"/>
    <mergeCell ref="C42:F42"/>
    <mergeCell ref="G42:J42"/>
    <mergeCell ref="K42:P42"/>
    <mergeCell ref="Q42:U42"/>
    <mergeCell ref="V42:Z42"/>
    <mergeCell ref="AA42:AE42"/>
    <mergeCell ref="AF42:AJ42"/>
    <mergeCell ref="AK42:AP42"/>
    <mergeCell ref="C43:F43"/>
    <mergeCell ref="G43:I43"/>
    <mergeCell ref="K43:N43"/>
    <mergeCell ref="Q43:T43"/>
    <mergeCell ref="V43:Y43"/>
    <mergeCell ref="AA43:AD43"/>
    <mergeCell ref="AF43:AI43"/>
    <mergeCell ref="C45:F45"/>
    <mergeCell ref="G45:I45"/>
    <mergeCell ref="K45:N45"/>
    <mergeCell ref="Q45:T45"/>
    <mergeCell ref="AJ14:AM14"/>
    <mergeCell ref="AN14:AQ14"/>
    <mergeCell ref="AJ13:AM13"/>
    <mergeCell ref="AN13:AQ13"/>
    <mergeCell ref="A13:D13"/>
    <mergeCell ref="E13:G13"/>
    <mergeCell ref="H13:K13"/>
    <mergeCell ref="L13:O13"/>
    <mergeCell ref="P13:S13"/>
    <mergeCell ref="T13:W13"/>
    <mergeCell ref="X13:AA13"/>
    <mergeCell ref="AB13:AE13"/>
    <mergeCell ref="AF13:AI13"/>
    <mergeCell ref="A14:D14"/>
    <mergeCell ref="E14:G14"/>
    <mergeCell ref="H14:K14"/>
    <mergeCell ref="L14:O14"/>
    <mergeCell ref="P14:S14"/>
    <mergeCell ref="T14:W14"/>
    <mergeCell ref="X14:AA14"/>
    <mergeCell ref="AB14:AE14"/>
    <mergeCell ref="AF14:AI14"/>
    <mergeCell ref="AJ12:AM12"/>
    <mergeCell ref="AN12:AQ12"/>
    <mergeCell ref="AJ11:AM11"/>
    <mergeCell ref="AN11:AQ11"/>
    <mergeCell ref="A11:D11"/>
    <mergeCell ref="E11:G11"/>
    <mergeCell ref="H11:K11"/>
    <mergeCell ref="L11:O11"/>
    <mergeCell ref="P11:S11"/>
    <mergeCell ref="T11:W11"/>
    <mergeCell ref="X11:AA11"/>
    <mergeCell ref="AB11:AE11"/>
    <mergeCell ref="AF11:AI11"/>
    <mergeCell ref="A12:D12"/>
    <mergeCell ref="E12:G12"/>
    <mergeCell ref="H12:K12"/>
    <mergeCell ref="L12:O12"/>
    <mergeCell ref="P12:S12"/>
    <mergeCell ref="T12:W12"/>
    <mergeCell ref="X12:AA12"/>
    <mergeCell ref="AB12:AE12"/>
    <mergeCell ref="AF12:AI12"/>
    <mergeCell ref="C3:D3"/>
    <mergeCell ref="V5:AL5"/>
    <mergeCell ref="AM5:AQ5"/>
    <mergeCell ref="A7:D8"/>
    <mergeCell ref="E7:G8"/>
    <mergeCell ref="H7:O7"/>
    <mergeCell ref="P7:W7"/>
    <mergeCell ref="X7:AE7"/>
    <mergeCell ref="AF7:AI8"/>
    <mergeCell ref="AJ7:AM7"/>
    <mergeCell ref="AN7:AQ8"/>
    <mergeCell ref="H8:K8"/>
    <mergeCell ref="L8:O8"/>
    <mergeCell ref="P8:S8"/>
    <mergeCell ref="T8:W8"/>
    <mergeCell ref="X8:AA8"/>
    <mergeCell ref="AB8:AE8"/>
    <mergeCell ref="AJ8:AM8"/>
    <mergeCell ref="AN9:AQ9"/>
    <mergeCell ref="H9:K9"/>
    <mergeCell ref="L9:O9"/>
    <mergeCell ref="P9:S9"/>
    <mergeCell ref="T9:W9"/>
    <mergeCell ref="A10:D10"/>
    <mergeCell ref="E10:G10"/>
    <mergeCell ref="H10:K10"/>
    <mergeCell ref="L10:O10"/>
    <mergeCell ref="P10:S10"/>
    <mergeCell ref="T10:W10"/>
    <mergeCell ref="A9:D9"/>
    <mergeCell ref="E9:G9"/>
    <mergeCell ref="X10:AA10"/>
    <mergeCell ref="AB10:AE10"/>
    <mergeCell ref="AF10:AI10"/>
    <mergeCell ref="AJ10:AM10"/>
    <mergeCell ref="AN10:AQ10"/>
    <mergeCell ref="X9:AA9"/>
    <mergeCell ref="AB9:AE9"/>
    <mergeCell ref="AF9:AI9"/>
    <mergeCell ref="AJ9:AM9"/>
    <mergeCell ref="AJ16:AM16"/>
    <mergeCell ref="AN16:AQ16"/>
    <mergeCell ref="A16:D16"/>
    <mergeCell ref="E16:G16"/>
    <mergeCell ref="H16:K16"/>
    <mergeCell ref="L16:O16"/>
    <mergeCell ref="P16:S16"/>
    <mergeCell ref="T16:W16"/>
    <mergeCell ref="A15:D15"/>
    <mergeCell ref="E15:G15"/>
    <mergeCell ref="H15:K15"/>
    <mergeCell ref="L15:O15"/>
    <mergeCell ref="P15:S15"/>
    <mergeCell ref="T15:W15"/>
    <mergeCell ref="X15:AA15"/>
    <mergeCell ref="AB15:AE15"/>
    <mergeCell ref="AF15:AI15"/>
    <mergeCell ref="AJ15:AM15"/>
    <mergeCell ref="AN15:AQ15"/>
    <mergeCell ref="X16:AA16"/>
    <mergeCell ref="AB16:AE16"/>
    <mergeCell ref="AF16:AI16"/>
    <mergeCell ref="X17:AA17"/>
    <mergeCell ref="AB17:AE17"/>
    <mergeCell ref="AF17:AI17"/>
    <mergeCell ref="AJ17:AM17"/>
    <mergeCell ref="AN17:AQ17"/>
    <mergeCell ref="A17:D17"/>
    <mergeCell ref="E17:G17"/>
    <mergeCell ref="H17:K17"/>
    <mergeCell ref="L17:O17"/>
    <mergeCell ref="P17:S17"/>
    <mergeCell ref="T17:W17"/>
    <mergeCell ref="AB18:AE18"/>
    <mergeCell ref="AF18:AI18"/>
    <mergeCell ref="AJ18:AM18"/>
    <mergeCell ref="AN18:AQ18"/>
    <mergeCell ref="A20:J20"/>
    <mergeCell ref="AB20:AL20"/>
    <mergeCell ref="A18:G18"/>
    <mergeCell ref="H18:K18"/>
    <mergeCell ref="L18:O18"/>
    <mergeCell ref="P18:S18"/>
    <mergeCell ref="T18:W18"/>
    <mergeCell ref="X18:AA18"/>
    <mergeCell ref="A23:J23"/>
    <mergeCell ref="AB23:AG23"/>
    <mergeCell ref="AH23:AK23"/>
    <mergeCell ref="C27:F27"/>
    <mergeCell ref="G27:J27"/>
    <mergeCell ref="K27:P27"/>
    <mergeCell ref="Q27:U27"/>
    <mergeCell ref="AB21:AG21"/>
    <mergeCell ref="AH21:AK21"/>
    <mergeCell ref="A22:J22"/>
    <mergeCell ref="AB22:AG22"/>
    <mergeCell ref="AH22:AK22"/>
    <mergeCell ref="AA27:AE27"/>
    <mergeCell ref="A25:J25"/>
    <mergeCell ref="A27:B30"/>
    <mergeCell ref="C29:F29"/>
    <mergeCell ref="G29:I29"/>
    <mergeCell ref="K29:N29"/>
    <mergeCell ref="Q29:T29"/>
    <mergeCell ref="AF29:AI29"/>
    <mergeCell ref="V27:Z27"/>
    <mergeCell ref="AF27:AJ27"/>
    <mergeCell ref="C28:F28"/>
    <mergeCell ref="G28:I28"/>
    <mergeCell ref="C34:F34"/>
    <mergeCell ref="G34:I34"/>
    <mergeCell ref="K34:N34"/>
    <mergeCell ref="Q34:T34"/>
    <mergeCell ref="AF34:AI34"/>
    <mergeCell ref="V32:Z32"/>
    <mergeCell ref="AF32:AJ32"/>
    <mergeCell ref="C33:F33"/>
    <mergeCell ref="G33:I33"/>
    <mergeCell ref="K33:N33"/>
    <mergeCell ref="Q33:T33"/>
    <mergeCell ref="V33:Y33"/>
    <mergeCell ref="AF33:AI33"/>
    <mergeCell ref="AA33:AD33"/>
    <mergeCell ref="AA34:AD34"/>
    <mergeCell ref="AA37:AE37"/>
    <mergeCell ref="AA35:AD35"/>
    <mergeCell ref="G30:J30"/>
    <mergeCell ref="K30:P30"/>
    <mergeCell ref="Q30:T30"/>
    <mergeCell ref="V30:Y30"/>
    <mergeCell ref="AF30:AI30"/>
    <mergeCell ref="AA32:AE32"/>
    <mergeCell ref="AA30:AD30"/>
    <mergeCell ref="AK27:AP27"/>
    <mergeCell ref="AK32:AP32"/>
    <mergeCell ref="AK37:AP37"/>
    <mergeCell ref="AE48:AJ48"/>
    <mergeCell ref="AE49:AI49"/>
    <mergeCell ref="C40:F40"/>
    <mergeCell ref="G40:J40"/>
    <mergeCell ref="K40:P40"/>
    <mergeCell ref="Q40:T40"/>
    <mergeCell ref="V40:Y40"/>
    <mergeCell ref="AF40:AI40"/>
    <mergeCell ref="AK40:AO40"/>
    <mergeCell ref="AA40:AD40"/>
    <mergeCell ref="C39:F39"/>
    <mergeCell ref="G39:I39"/>
    <mergeCell ref="K39:N39"/>
    <mergeCell ref="Q39:T39"/>
    <mergeCell ref="AF39:AI39"/>
    <mergeCell ref="V37:Z37"/>
    <mergeCell ref="AF37:AJ37"/>
    <mergeCell ref="C38:F38"/>
    <mergeCell ref="G38:I38"/>
    <mergeCell ref="K38:N38"/>
    <mergeCell ref="Q38:T38"/>
    <mergeCell ref="AK51:AP51"/>
    <mergeCell ref="AK52:AO52"/>
    <mergeCell ref="AE51:AJ51"/>
    <mergeCell ref="AE52:AI52"/>
    <mergeCell ref="B50:J50"/>
    <mergeCell ref="B51:J51"/>
    <mergeCell ref="B52:J52"/>
    <mergeCell ref="A32:B35"/>
    <mergeCell ref="A37:B40"/>
    <mergeCell ref="V38:Y38"/>
    <mergeCell ref="AF38:AI38"/>
    <mergeCell ref="AA38:AD38"/>
    <mergeCell ref="AA39:AD39"/>
    <mergeCell ref="AK35:AO35"/>
    <mergeCell ref="C37:F37"/>
    <mergeCell ref="G37:J37"/>
    <mergeCell ref="K37:P37"/>
    <mergeCell ref="Q37:U37"/>
    <mergeCell ref="C35:F35"/>
    <mergeCell ref="G35:J35"/>
    <mergeCell ref="K35:P35"/>
    <mergeCell ref="Q35:T35"/>
    <mergeCell ref="V35:Y35"/>
    <mergeCell ref="AF35:AI35"/>
  </mergeCells>
  <phoneticPr fontId="2"/>
  <conditionalFormatting sqref="V3">
    <cfRule type="expression" dxfId="1" priority="1" stopIfTrue="1">
      <formula>$AQ$30&lt;0</formula>
    </cfRule>
  </conditionalFormatting>
  <conditionalFormatting sqref="V4:V5">
    <cfRule type="expression" dxfId="0" priority="2" stopIfTrue="1">
      <formula>$AQ$30&lt;0</formula>
    </cfRule>
  </conditionalFormatting>
  <pageMargins left="0.75" right="0.56000000000000005" top="0.75" bottom="0.74" header="0.51200000000000001" footer="0.51200000000000001"/>
  <pageSetup paperSize="9" scale="67"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13"/>
  <sheetViews>
    <sheetView workbookViewId="0">
      <selection activeCell="B19" sqref="B19"/>
    </sheetView>
  </sheetViews>
  <sheetFormatPr defaultRowHeight="13.2" x14ac:dyDescent="0.2"/>
  <cols>
    <col min="2" max="2" width="9.77734375" customWidth="1"/>
    <col min="5" max="5" width="9.88671875" customWidth="1"/>
  </cols>
  <sheetData>
    <row r="1" spans="1:10" ht="66" x14ac:dyDescent="0.2">
      <c r="A1" s="55" t="s">
        <v>111</v>
      </c>
      <c r="B1" s="17" t="s">
        <v>52</v>
      </c>
      <c r="C1" s="18" t="s">
        <v>31</v>
      </c>
      <c r="D1" s="17" t="s">
        <v>36</v>
      </c>
      <c r="E1" s="17" t="s">
        <v>48</v>
      </c>
      <c r="F1" s="55" t="s">
        <v>114</v>
      </c>
      <c r="G1" s="17" t="s">
        <v>122</v>
      </c>
      <c r="H1" s="86" t="s">
        <v>132</v>
      </c>
      <c r="I1" s="18" t="s">
        <v>143</v>
      </c>
      <c r="J1" s="17" t="s">
        <v>166</v>
      </c>
    </row>
    <row r="2" spans="1:10" x14ac:dyDescent="0.2">
      <c r="A2" s="21" t="s">
        <v>109</v>
      </c>
      <c r="B2" s="15" t="s">
        <v>49</v>
      </c>
      <c r="C2" s="16" t="s">
        <v>32</v>
      </c>
      <c r="D2" s="15" t="s">
        <v>27</v>
      </c>
      <c r="E2" s="21" t="s">
        <v>30</v>
      </c>
      <c r="F2" s="12" t="s">
        <v>113</v>
      </c>
      <c r="G2" s="12"/>
      <c r="H2" s="12">
        <v>1</v>
      </c>
      <c r="I2" s="12" t="s">
        <v>109</v>
      </c>
      <c r="J2" s="12" t="s">
        <v>167</v>
      </c>
    </row>
    <row r="3" spans="1:10" x14ac:dyDescent="0.2">
      <c r="A3" s="21" t="s">
        <v>112</v>
      </c>
      <c r="B3" s="12" t="s">
        <v>50</v>
      </c>
      <c r="D3" s="12" t="s">
        <v>37</v>
      </c>
      <c r="E3" s="21" t="s">
        <v>46</v>
      </c>
      <c r="F3" s="12" t="s">
        <v>127</v>
      </c>
      <c r="G3" s="12" t="s">
        <v>121</v>
      </c>
      <c r="H3" s="12">
        <v>2</v>
      </c>
      <c r="J3" s="12" t="s">
        <v>168</v>
      </c>
    </row>
    <row r="4" spans="1:10" x14ac:dyDescent="0.2">
      <c r="A4" s="21" t="s">
        <v>108</v>
      </c>
      <c r="B4" s="12" t="s">
        <v>51</v>
      </c>
      <c r="D4" s="12" t="s">
        <v>38</v>
      </c>
      <c r="E4" s="21" t="s">
        <v>47</v>
      </c>
      <c r="F4" s="12" t="s">
        <v>128</v>
      </c>
      <c r="H4" s="12">
        <v>3</v>
      </c>
    </row>
    <row r="5" spans="1:10" x14ac:dyDescent="0.2">
      <c r="A5" s="21" t="s">
        <v>110</v>
      </c>
      <c r="B5" s="12" t="s">
        <v>108</v>
      </c>
      <c r="D5" s="12" t="s">
        <v>39</v>
      </c>
      <c r="E5" s="21" t="s">
        <v>41</v>
      </c>
      <c r="F5" s="12" t="s">
        <v>125</v>
      </c>
      <c r="H5" s="12">
        <v>4</v>
      </c>
    </row>
    <row r="6" spans="1:10" x14ac:dyDescent="0.2">
      <c r="B6" s="12" t="s">
        <v>42</v>
      </c>
      <c r="D6" s="12" t="s">
        <v>40</v>
      </c>
      <c r="E6" s="21" t="s">
        <v>42</v>
      </c>
      <c r="H6" s="12">
        <v>5</v>
      </c>
    </row>
    <row r="7" spans="1:10" x14ac:dyDescent="0.2">
      <c r="D7" s="12" t="s">
        <v>41</v>
      </c>
      <c r="H7" s="12">
        <v>6</v>
      </c>
    </row>
    <row r="8" spans="1:10" x14ac:dyDescent="0.2">
      <c r="D8" s="12" t="s">
        <v>42</v>
      </c>
      <c r="H8" s="12">
        <v>7</v>
      </c>
    </row>
    <row r="9" spans="1:10" x14ac:dyDescent="0.2">
      <c r="H9" s="12">
        <v>8</v>
      </c>
    </row>
    <row r="10" spans="1:10" x14ac:dyDescent="0.2">
      <c r="H10" s="12">
        <v>9</v>
      </c>
    </row>
    <row r="11" spans="1:10" x14ac:dyDescent="0.2">
      <c r="H11" s="12">
        <v>10</v>
      </c>
    </row>
    <row r="12" spans="1:10" x14ac:dyDescent="0.2">
      <c r="H12" s="12">
        <v>11</v>
      </c>
    </row>
    <row r="13" spans="1:10" x14ac:dyDescent="0.2">
      <c r="H13" s="12">
        <v>12</v>
      </c>
    </row>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HP入力フォーム</vt:lpstr>
      <vt:lpstr>HP入力フォーム!Print_Area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CL4R1237</dc:creator>
  <cp:lastModifiedBy>結城市</cp:lastModifiedBy>
  <cp:lastPrinted>2026-02-24T00:36:12Z</cp:lastPrinted>
  <dcterms:created xsi:type="dcterms:W3CDTF">2005-11-18T01:24:35Z</dcterms:created>
  <dcterms:modified xsi:type="dcterms:W3CDTF">2026-04-28T05:15:43Z</dcterms:modified>
</cp:coreProperties>
</file>